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15" windowWidth="7470" windowHeight="11640"/>
  </bookViews>
  <sheets>
    <sheet name="ORÇAMENTO" sheetId="1" r:id="rId1"/>
    <sheet name="CRONOGRAMA" sheetId="4" r:id="rId2"/>
    <sheet name="COMPOSIÇÕES" sheetId="5" r:id="rId3"/>
  </sheets>
  <definedNames>
    <definedName name="_xlnm.Print_Area" localSheetId="1">CRONOGRAMA!$A$1:$M$33</definedName>
    <definedName name="_xlnm.Print_Area" localSheetId="0">ORÇAMENTO!$A$1:$Q$113</definedName>
  </definedNames>
  <calcPr calcId="124519"/>
</workbook>
</file>

<file path=xl/calcChain.xml><?xml version="1.0" encoding="utf-8"?>
<calcChain xmlns="http://schemas.openxmlformats.org/spreadsheetml/2006/main">
  <c r="P96" i="1"/>
  <c r="P91"/>
  <c r="P92"/>
  <c r="P93"/>
  <c r="P90"/>
  <c r="P72"/>
  <c r="P73"/>
  <c r="P74"/>
  <c r="P75"/>
  <c r="P76"/>
  <c r="P77"/>
  <c r="P78"/>
  <c r="P79"/>
  <c r="P80"/>
  <c r="P81"/>
  <c r="P82"/>
  <c r="P83"/>
  <c r="P84"/>
  <c r="P85"/>
  <c r="P86"/>
  <c r="P87"/>
  <c r="P71"/>
  <c r="P68"/>
  <c r="P67"/>
  <c r="P63"/>
  <c r="P64"/>
  <c r="P62"/>
  <c r="P59"/>
  <c r="P58"/>
  <c r="P53"/>
  <c r="P54"/>
  <c r="P55"/>
  <c r="P52"/>
  <c r="P49"/>
  <c r="P50"/>
  <c r="P48"/>
  <c r="G40"/>
  <c r="F40"/>
  <c r="H34" l="1"/>
  <c r="K34" s="1"/>
  <c r="M34" s="1"/>
  <c r="P34" s="1"/>
  <c r="I34"/>
  <c r="L34" s="1"/>
  <c r="B31" i="4"/>
  <c r="A31"/>
  <c r="B29"/>
  <c r="A29"/>
  <c r="B27"/>
  <c r="A27"/>
  <c r="B25"/>
  <c r="A25"/>
  <c r="B23"/>
  <c r="A23"/>
  <c r="B21"/>
  <c r="A21"/>
  <c r="B19"/>
  <c r="A19"/>
  <c r="B17"/>
  <c r="A17"/>
  <c r="B15"/>
  <c r="A15"/>
  <c r="B13"/>
  <c r="A13"/>
  <c r="B11"/>
  <c r="A11"/>
  <c r="G42" i="1" l="1"/>
  <c r="G41"/>
  <c r="I42"/>
  <c r="L42" s="1"/>
  <c r="M42" s="1"/>
  <c r="P42" l="1"/>
  <c r="Q42" s="1"/>
  <c r="Q34"/>
  <c r="H32"/>
  <c r="I45" l="1"/>
  <c r="L45" s="1"/>
  <c r="H45"/>
  <c r="K45" s="1"/>
  <c r="I44"/>
  <c r="L44" s="1"/>
  <c r="H44"/>
  <c r="K44" s="1"/>
  <c r="I43"/>
  <c r="L43" s="1"/>
  <c r="H43"/>
  <c r="K43" s="1"/>
  <c r="I41"/>
  <c r="L41" s="1"/>
  <c r="H41"/>
  <c r="K41" s="1"/>
  <c r="G31"/>
  <c r="G19"/>
  <c r="G17"/>
  <c r="G93"/>
  <c r="G92"/>
  <c r="G68"/>
  <c r="G59"/>
  <c r="G58"/>
  <c r="G55"/>
  <c r="G54" s="1"/>
  <c r="G53" s="1"/>
  <c r="G52"/>
  <c r="G49"/>
  <c r="G48"/>
  <c r="G37"/>
  <c r="G36"/>
  <c r="G33"/>
  <c r="G35" s="1"/>
  <c r="G27"/>
  <c r="G26"/>
  <c r="G25"/>
  <c r="G23"/>
  <c r="G24" s="1"/>
  <c r="G20"/>
  <c r="G18"/>
  <c r="G13"/>
  <c r="M43" l="1"/>
  <c r="P43" s="1"/>
  <c r="Q43" s="1"/>
  <c r="M45"/>
  <c r="P45" s="1"/>
  <c r="M41"/>
  <c r="P41" s="1"/>
  <c r="Q41" s="1"/>
  <c r="M44"/>
  <c r="P44" s="1"/>
  <c r="Q44"/>
  <c r="Q45"/>
  <c r="J28" i="4"/>
  <c r="H28"/>
  <c r="F28"/>
  <c r="I27"/>
  <c r="K32" i="1"/>
  <c r="F68"/>
  <c r="I68"/>
  <c r="L68" s="1"/>
  <c r="H68"/>
  <c r="K68" s="1"/>
  <c r="I67"/>
  <c r="L67" s="1"/>
  <c r="H67"/>
  <c r="K67" s="1"/>
  <c r="I78"/>
  <c r="L78" s="1"/>
  <c r="H78"/>
  <c r="K78" s="1"/>
  <c r="I87"/>
  <c r="L87" s="1"/>
  <c r="H87"/>
  <c r="K87" s="1"/>
  <c r="I86"/>
  <c r="L86" s="1"/>
  <c r="H86"/>
  <c r="K86" s="1"/>
  <c r="I85"/>
  <c r="L85" s="1"/>
  <c r="H85"/>
  <c r="K85" s="1"/>
  <c r="G15" i="5"/>
  <c r="G12"/>
  <c r="F12"/>
  <c r="G14"/>
  <c r="G13"/>
  <c r="I84" i="1"/>
  <c r="L84" s="1"/>
  <c r="H84"/>
  <c r="K84" s="1"/>
  <c r="I83"/>
  <c r="L83" s="1"/>
  <c r="H83"/>
  <c r="K83" s="1"/>
  <c r="I82"/>
  <c r="L82" s="1"/>
  <c r="H82"/>
  <c r="K82" s="1"/>
  <c r="I81"/>
  <c r="L81" s="1"/>
  <c r="H81"/>
  <c r="K81" s="1"/>
  <c r="I80"/>
  <c r="L80" s="1"/>
  <c r="H80"/>
  <c r="K80" s="1"/>
  <c r="I79"/>
  <c r="L79" s="1"/>
  <c r="H79"/>
  <c r="K79" s="1"/>
  <c r="I77"/>
  <c r="L77" s="1"/>
  <c r="H77"/>
  <c r="K77" s="1"/>
  <c r="I76"/>
  <c r="L76" s="1"/>
  <c r="H76"/>
  <c r="K76" s="1"/>
  <c r="I75"/>
  <c r="L75" s="1"/>
  <c r="H75"/>
  <c r="K75" s="1"/>
  <c r="I74"/>
  <c r="L74" s="1"/>
  <c r="H74"/>
  <c r="K74" s="1"/>
  <c r="G11" i="5"/>
  <c r="G10"/>
  <c r="G9"/>
  <c r="G8"/>
  <c r="F8"/>
  <c r="G7"/>
  <c r="G6"/>
  <c r="G5"/>
  <c r="G4"/>
  <c r="F4"/>
  <c r="I73" i="1"/>
  <c r="L73" s="1"/>
  <c r="H73"/>
  <c r="K73" s="1"/>
  <c r="I72"/>
  <c r="L72" s="1"/>
  <c r="H72"/>
  <c r="K72" s="1"/>
  <c r="F31"/>
  <c r="F13"/>
  <c r="F19"/>
  <c r="F17"/>
  <c r="F36"/>
  <c r="H40"/>
  <c r="K40" s="1"/>
  <c r="I40"/>
  <c r="L40" s="1"/>
  <c r="H39"/>
  <c r="K39" s="1"/>
  <c r="I39"/>
  <c r="L39" s="1"/>
  <c r="H38"/>
  <c r="K38" s="1"/>
  <c r="I38"/>
  <c r="L38" s="1"/>
  <c r="F32" i="4"/>
  <c r="H32"/>
  <c r="J32"/>
  <c r="I31"/>
  <c r="F30"/>
  <c r="H30"/>
  <c r="J30"/>
  <c r="I29"/>
  <c r="F26"/>
  <c r="H26"/>
  <c r="J26"/>
  <c r="I25"/>
  <c r="F23" i="1"/>
  <c r="F24" s="1"/>
  <c r="F25"/>
  <c r="I11" i="4"/>
  <c r="J12"/>
  <c r="I13"/>
  <c r="I15"/>
  <c r="I17"/>
  <c r="I19"/>
  <c r="I21"/>
  <c r="I23"/>
  <c r="F93" i="1"/>
  <c r="F92"/>
  <c r="I93"/>
  <c r="L93" s="1"/>
  <c r="H93"/>
  <c r="K93" s="1"/>
  <c r="F55"/>
  <c r="F54" s="1"/>
  <c r="F53" s="1"/>
  <c r="F52"/>
  <c r="I55"/>
  <c r="L55" s="1"/>
  <c r="H55"/>
  <c r="K55" s="1"/>
  <c r="I54"/>
  <c r="L54" s="1"/>
  <c r="H54"/>
  <c r="K54" s="1"/>
  <c r="I53"/>
  <c r="L53" s="1"/>
  <c r="H53"/>
  <c r="K53" s="1"/>
  <c r="I52"/>
  <c r="L52" s="1"/>
  <c r="H52"/>
  <c r="K52" s="1"/>
  <c r="F26"/>
  <c r="I26"/>
  <c r="L26" s="1"/>
  <c r="H26"/>
  <c r="K26" s="1"/>
  <c r="F27"/>
  <c r="F20"/>
  <c r="F58"/>
  <c r="F59"/>
  <c r="I59"/>
  <c r="L59" s="1"/>
  <c r="H59"/>
  <c r="K59" s="1"/>
  <c r="I92"/>
  <c r="L92" s="1"/>
  <c r="H92"/>
  <c r="K92" s="1"/>
  <c r="I90"/>
  <c r="L90" s="1"/>
  <c r="I91"/>
  <c r="L91" s="1"/>
  <c r="H91"/>
  <c r="K91" s="1"/>
  <c r="I64"/>
  <c r="L64" s="1"/>
  <c r="H64"/>
  <c r="K64" s="1"/>
  <c r="I63"/>
  <c r="L63" s="1"/>
  <c r="H63"/>
  <c r="K63" s="1"/>
  <c r="F49"/>
  <c r="F48"/>
  <c r="F37"/>
  <c r="F33"/>
  <c r="F35" s="1"/>
  <c r="F18"/>
  <c r="I37"/>
  <c r="L37" s="1"/>
  <c r="H37"/>
  <c r="K37" s="1"/>
  <c r="I36"/>
  <c r="L36" s="1"/>
  <c r="H36"/>
  <c r="K36" s="1"/>
  <c r="I35"/>
  <c r="L35" s="1"/>
  <c r="H35"/>
  <c r="K35" s="1"/>
  <c r="H62"/>
  <c r="K62" s="1"/>
  <c r="I33"/>
  <c r="L33" s="1"/>
  <c r="H33"/>
  <c r="K33" s="1"/>
  <c r="I28"/>
  <c r="L28" s="1"/>
  <c r="H28"/>
  <c r="K28" s="1"/>
  <c r="M28" s="1"/>
  <c r="N28" s="1"/>
  <c r="P28" s="1"/>
  <c r="I18"/>
  <c r="L18" s="1"/>
  <c r="H18"/>
  <c r="K18" s="1"/>
  <c r="I50"/>
  <c r="L50" s="1"/>
  <c r="H50"/>
  <c r="K50" s="1"/>
  <c r="M50" s="1"/>
  <c r="N50" s="1"/>
  <c r="H90"/>
  <c r="K90" s="1"/>
  <c r="I62"/>
  <c r="L62" s="1"/>
  <c r="H48"/>
  <c r="K48" s="1"/>
  <c r="I48"/>
  <c r="L48" s="1"/>
  <c r="H49"/>
  <c r="K49" s="1"/>
  <c r="I49"/>
  <c r="L49" s="1"/>
  <c r="I32"/>
  <c r="L32" s="1"/>
  <c r="I31"/>
  <c r="L31" s="1"/>
  <c r="H31"/>
  <c r="K31" s="1"/>
  <c r="I13"/>
  <c r="L13" s="1"/>
  <c r="H13"/>
  <c r="K13" s="1"/>
  <c r="I71"/>
  <c r="L71" s="1"/>
  <c r="H71"/>
  <c r="K71" s="1"/>
  <c r="I58"/>
  <c r="L58" s="1"/>
  <c r="H58"/>
  <c r="K58" s="1"/>
  <c r="I27"/>
  <c r="L27" s="1"/>
  <c r="H27"/>
  <c r="K27" s="1"/>
  <c r="I25"/>
  <c r="L25" s="1"/>
  <c r="H25"/>
  <c r="K25" s="1"/>
  <c r="I24"/>
  <c r="L24" s="1"/>
  <c r="H24"/>
  <c r="K24" s="1"/>
  <c r="I23"/>
  <c r="L23" s="1"/>
  <c r="H23"/>
  <c r="K23" s="1"/>
  <c r="I20"/>
  <c r="L20" s="1"/>
  <c r="H20"/>
  <c r="K20" s="1"/>
  <c r="I19"/>
  <c r="L19" s="1"/>
  <c r="H19"/>
  <c r="K19" s="1"/>
  <c r="I17"/>
  <c r="L17" s="1"/>
  <c r="H17"/>
  <c r="K17" s="1"/>
  <c r="I14"/>
  <c r="L14" s="1"/>
  <c r="H14"/>
  <c r="K14" s="1"/>
  <c r="F24" i="4"/>
  <c r="H24"/>
  <c r="J24"/>
  <c r="F22"/>
  <c r="H22"/>
  <c r="F20"/>
  <c r="H20"/>
  <c r="J20"/>
  <c r="F18"/>
  <c r="H18"/>
  <c r="J18"/>
  <c r="F16"/>
  <c r="H16"/>
  <c r="J16"/>
  <c r="I12" i="1"/>
  <c r="L12" s="1"/>
  <c r="H12"/>
  <c r="K12" s="1"/>
  <c r="I11"/>
  <c r="L11" s="1"/>
  <c r="H11"/>
  <c r="K11" s="1"/>
  <c r="K8" i="4"/>
  <c r="J6"/>
  <c r="J5"/>
  <c r="D5"/>
  <c r="D6"/>
  <c r="D7"/>
  <c r="D8"/>
  <c r="A5"/>
  <c r="A6"/>
  <c r="A7"/>
  <c r="A8"/>
  <c r="A3"/>
  <c r="F14"/>
  <c r="H14"/>
  <c r="F12"/>
  <c r="H12"/>
  <c r="J22"/>
  <c r="J14"/>
  <c r="M49" i="1" l="1"/>
  <c r="N49" s="1"/>
  <c r="M32"/>
  <c r="P32" s="1"/>
  <c r="M36"/>
  <c r="M11"/>
  <c r="M17"/>
  <c r="P17" s="1"/>
  <c r="M20"/>
  <c r="M24"/>
  <c r="N24" s="1"/>
  <c r="P24" s="1"/>
  <c r="M27"/>
  <c r="N27" s="1"/>
  <c r="P27" s="1"/>
  <c r="M31"/>
  <c r="M18"/>
  <c r="M33"/>
  <c r="M12"/>
  <c r="M14"/>
  <c r="M19"/>
  <c r="P19" s="1"/>
  <c r="M23"/>
  <c r="N23" s="1"/>
  <c r="P23" s="1"/>
  <c r="M25"/>
  <c r="N25" s="1"/>
  <c r="P25" s="1"/>
  <c r="M13"/>
  <c r="M48"/>
  <c r="N48" s="1"/>
  <c r="M35"/>
  <c r="M37"/>
  <c r="M39"/>
  <c r="N36"/>
  <c r="P36"/>
  <c r="M26"/>
  <c r="N26" s="1"/>
  <c r="P26" s="1"/>
  <c r="M38"/>
  <c r="M40"/>
  <c r="P40" s="1"/>
  <c r="M86"/>
  <c r="M54"/>
  <c r="M52"/>
  <c r="M53"/>
  <c r="M55"/>
  <c r="M78"/>
  <c r="M67"/>
  <c r="M93"/>
  <c r="M90"/>
  <c r="M59"/>
  <c r="M63"/>
  <c r="M72"/>
  <c r="M75"/>
  <c r="M77"/>
  <c r="M80"/>
  <c r="M82"/>
  <c r="M84"/>
  <c r="M85"/>
  <c r="M87"/>
  <c r="M62"/>
  <c r="M92"/>
  <c r="M73"/>
  <c r="M74"/>
  <c r="M76"/>
  <c r="M79"/>
  <c r="M81"/>
  <c r="M83"/>
  <c r="M71"/>
  <c r="M64"/>
  <c r="M58"/>
  <c r="M91"/>
  <c r="N91" s="1"/>
  <c r="M68"/>
  <c r="N32" l="1"/>
  <c r="Q32" s="1"/>
  <c r="N62"/>
  <c r="N75"/>
  <c r="N90"/>
  <c r="N78"/>
  <c r="N54"/>
  <c r="N37"/>
  <c r="P37"/>
  <c r="N12"/>
  <c r="P12"/>
  <c r="P11"/>
  <c r="N11"/>
  <c r="N68"/>
  <c r="N71"/>
  <c r="N79"/>
  <c r="N92"/>
  <c r="N85"/>
  <c r="N77"/>
  <c r="N59"/>
  <c r="N67"/>
  <c r="N52"/>
  <c r="N38"/>
  <c r="P38"/>
  <c r="P39"/>
  <c r="N39"/>
  <c r="P13"/>
  <c r="N13"/>
  <c r="N14"/>
  <c r="P14"/>
  <c r="N31"/>
  <c r="P31"/>
  <c r="Q31" s="1"/>
  <c r="N76"/>
  <c r="N84"/>
  <c r="N64"/>
  <c r="N81"/>
  <c r="N73"/>
  <c r="N87"/>
  <c r="N80"/>
  <c r="N63"/>
  <c r="N93"/>
  <c r="N53"/>
  <c r="N18"/>
  <c r="P18"/>
  <c r="N20"/>
  <c r="P20"/>
  <c r="N58"/>
  <c r="N83"/>
  <c r="N74"/>
  <c r="N82"/>
  <c r="N72"/>
  <c r="N55"/>
  <c r="N86"/>
  <c r="N35"/>
  <c r="P35"/>
  <c r="P33"/>
  <c r="N33"/>
  <c r="P29"/>
  <c r="O23" s="1"/>
  <c r="P51"/>
  <c r="O48" s="1"/>
  <c r="M94"/>
  <c r="M51"/>
  <c r="N19"/>
  <c r="Q19" s="1"/>
  <c r="N17"/>
  <c r="N40"/>
  <c r="M60"/>
  <c r="M29"/>
  <c r="M88"/>
  <c r="P60" l="1"/>
  <c r="O58" s="1"/>
  <c r="P15"/>
  <c r="M65"/>
  <c r="P88"/>
  <c r="O71" s="1"/>
  <c r="P56"/>
  <c r="O53" s="1"/>
  <c r="P69"/>
  <c r="O67" s="1"/>
  <c r="M69"/>
  <c r="M56"/>
  <c r="P65"/>
  <c r="D25" i="4" s="1"/>
  <c r="H25" s="1"/>
  <c r="P94" i="1"/>
  <c r="O91" s="1"/>
  <c r="T88"/>
  <c r="O75"/>
  <c r="O83"/>
  <c r="O72"/>
  <c r="O80"/>
  <c r="O74"/>
  <c r="O82"/>
  <c r="O73"/>
  <c r="T51"/>
  <c r="O50"/>
  <c r="D19" i="4"/>
  <c r="O49" i="1"/>
  <c r="Q40"/>
  <c r="T29"/>
  <c r="O26"/>
  <c r="D15" i="4"/>
  <c r="O27" i="1"/>
  <c r="O25"/>
  <c r="O24"/>
  <c r="O28"/>
  <c r="Q17"/>
  <c r="Q95" s="1"/>
  <c r="D11" i="4"/>
  <c r="O14" i="1"/>
  <c r="O13"/>
  <c r="O12"/>
  <c r="O11"/>
  <c r="M15"/>
  <c r="M46"/>
  <c r="T15"/>
  <c r="M21"/>
  <c r="P46"/>
  <c r="T46" s="1"/>
  <c r="P21"/>
  <c r="T94" l="1"/>
  <c r="O77"/>
  <c r="D27" i="4"/>
  <c r="F27" s="1"/>
  <c r="O64" i="1"/>
  <c r="O63"/>
  <c r="T60"/>
  <c r="O59"/>
  <c r="O55"/>
  <c r="D21" i="4"/>
  <c r="O52" i="1"/>
  <c r="O54"/>
  <c r="T56"/>
  <c r="O62"/>
  <c r="T65"/>
  <c r="D23" i="4"/>
  <c r="H23" s="1"/>
  <c r="T69" i="1"/>
  <c r="O68"/>
  <c r="O86"/>
  <c r="O84"/>
  <c r="O85"/>
  <c r="O79"/>
  <c r="D31" i="4"/>
  <c r="J31" s="1"/>
  <c r="H27"/>
  <c r="O81" i="1"/>
  <c r="O78"/>
  <c r="O76"/>
  <c r="O87"/>
  <c r="D29" i="4"/>
  <c r="F29" s="1"/>
  <c r="F21"/>
  <c r="O90" i="1"/>
  <c r="O93"/>
  <c r="O92"/>
  <c r="J25" i="4"/>
  <c r="F25"/>
  <c r="T21" i="1"/>
  <c r="D13" i="4"/>
  <c r="H13" s="1"/>
  <c r="O18" i="1"/>
  <c r="O19"/>
  <c r="O20"/>
  <c r="O17"/>
  <c r="O43"/>
  <c r="O40"/>
  <c r="O39"/>
  <c r="O42"/>
  <c r="O38"/>
  <c r="O45"/>
  <c r="O37"/>
  <c r="O34"/>
  <c r="D17" i="4"/>
  <c r="J17" s="1"/>
  <c r="O44" i="1"/>
  <c r="O36"/>
  <c r="O35"/>
  <c r="O31"/>
  <c r="O41"/>
  <c r="O33"/>
  <c r="O32"/>
  <c r="J11" i="4"/>
  <c r="M96" i="1"/>
  <c r="K25" i="4"/>
  <c r="O46" i="1"/>
  <c r="C17" i="4" s="1"/>
  <c r="J19"/>
  <c r="F19"/>
  <c r="H19"/>
  <c r="F15"/>
  <c r="J15"/>
  <c r="H15"/>
  <c r="J29"/>
  <c r="H29"/>
  <c r="F31" l="1"/>
  <c r="J27"/>
  <c r="K27" s="1"/>
  <c r="J23"/>
  <c r="K21"/>
  <c r="H21"/>
  <c r="J21"/>
  <c r="F23"/>
  <c r="K23" s="1"/>
  <c r="H31"/>
  <c r="T95" i="1"/>
  <c r="Q96"/>
  <c r="O69"/>
  <c r="C27" i="4" s="1"/>
  <c r="O29" i="1"/>
  <c r="C15" i="4" s="1"/>
  <c r="O65" i="1"/>
  <c r="C25" i="4" s="1"/>
  <c r="O60" i="1"/>
  <c r="C23" i="4" s="1"/>
  <c r="O51" i="1"/>
  <c r="C19" i="4" s="1"/>
  <c r="O88" i="1"/>
  <c r="C29" i="4" s="1"/>
  <c r="O56" i="1"/>
  <c r="C21" i="4" s="1"/>
  <c r="O15" i="1"/>
  <c r="C11" i="4" s="1"/>
  <c r="O94" i="1"/>
  <c r="C31" i="4" s="1"/>
  <c r="O21" i="1"/>
  <c r="C13" i="4" s="1"/>
  <c r="F17"/>
  <c r="F13"/>
  <c r="J13"/>
  <c r="H17"/>
  <c r="F11"/>
  <c r="S46" i="1"/>
  <c r="D33" i="4"/>
  <c r="H11"/>
  <c r="K29"/>
  <c r="K19"/>
  <c r="K15"/>
  <c r="K31" l="1"/>
  <c r="J33"/>
  <c r="I33" s="1"/>
  <c r="S69" i="1"/>
  <c r="S65"/>
  <c r="S56"/>
  <c r="K11" i="4"/>
  <c r="S21" i="1"/>
  <c r="S94"/>
  <c r="S29"/>
  <c r="S51"/>
  <c r="S88"/>
  <c r="S15"/>
  <c r="S60"/>
  <c r="K13" i="4"/>
  <c r="K17"/>
  <c r="F33"/>
  <c r="E33" s="1"/>
  <c r="O96" i="1"/>
  <c r="H33" i="4"/>
  <c r="G33" s="1"/>
  <c r="S95" i="1" l="1"/>
  <c r="K33" i="4"/>
  <c r="M33"/>
  <c r="C33"/>
</calcChain>
</file>

<file path=xl/sharedStrings.xml><?xml version="1.0" encoding="utf-8"?>
<sst xmlns="http://schemas.openxmlformats.org/spreadsheetml/2006/main" count="360" uniqueCount="246">
  <si>
    <t>ITEM</t>
  </si>
  <si>
    <t>UNID.</t>
  </si>
  <si>
    <t>2.1</t>
  </si>
  <si>
    <t>M.O.</t>
  </si>
  <si>
    <t xml:space="preserve"> UNIDADE DE GERENCIAMENTO DE PROJETOS - UGP</t>
  </si>
  <si>
    <t>PESO</t>
  </si>
  <si>
    <t>%</t>
  </si>
  <si>
    <t>TOTAL</t>
  </si>
  <si>
    <t>ACUMULADO</t>
  </si>
  <si>
    <t>TOTAL GERAL</t>
  </si>
  <si>
    <t>TOTAL DO ITEM</t>
  </si>
  <si>
    <t>CODIGO</t>
  </si>
  <si>
    <t>DESCRIÇÃO DO SERVIÇO</t>
  </si>
  <si>
    <t>MAT</t>
  </si>
  <si>
    <t>CUSTO</t>
  </si>
  <si>
    <t>PREÇO C/ BDI</t>
  </si>
  <si>
    <t>BDI:</t>
  </si>
  <si>
    <t>UNIT</t>
  </si>
  <si>
    <t>PARCELA 01</t>
  </si>
  <si>
    <t>PARCELA 02</t>
  </si>
  <si>
    <t>PARCELA 03</t>
  </si>
  <si>
    <t>DESCRIMINAÇÃO</t>
  </si>
  <si>
    <t>VALOR DO ITEM</t>
  </si>
  <si>
    <t xml:space="preserve">TOTAL DA PARCELA </t>
  </si>
  <si>
    <t>SINAP</t>
  </si>
  <si>
    <t>DNIT</t>
  </si>
  <si>
    <t>PESQUISA</t>
  </si>
  <si>
    <t>PLACA DE OBRA ESTRUTURA EM AÇO GALVANIZADO, DIMENSÃO DE 2,40MX4,80M</t>
  </si>
  <si>
    <t>ALUGUEL CONTAINER/ESCRT./WC COM 1 VASO SAN./1 LA./1 MIC./4 CHUV.</t>
  </si>
  <si>
    <t>MÊS</t>
  </si>
  <si>
    <t>M³ X KM</t>
  </si>
  <si>
    <t>M²</t>
  </si>
  <si>
    <t>M</t>
  </si>
  <si>
    <t>5.3</t>
  </si>
  <si>
    <t>5.4</t>
  </si>
  <si>
    <t>5.5</t>
  </si>
  <si>
    <t>5.7</t>
  </si>
  <si>
    <t>73847/002</t>
  </si>
  <si>
    <t>74209/001</t>
  </si>
  <si>
    <t>8.1</t>
  </si>
  <si>
    <t>LIMPEZA FINAL DE OBRA</t>
  </si>
  <si>
    <t>73892/002</t>
  </si>
  <si>
    <t>5.6</t>
  </si>
  <si>
    <t>M3</t>
  </si>
  <si>
    <t>M2</t>
  </si>
  <si>
    <t>SERVICOS TOPOGRAFICOS PARA PAVIMENTACAO, INCLUSIVE NOTA DE SERVICOS,</t>
  </si>
  <si>
    <t>DAER</t>
  </si>
  <si>
    <t>2.3</t>
  </si>
  <si>
    <t>PISO (CALCADA) EM CONCRETO 12MPA TRACO 1:3:5 (CIMENTO/AREIA/BRITA) e=7cm - USINADO</t>
  </si>
  <si>
    <t>T X KM</t>
  </si>
  <si>
    <t>TRANSPORTE COMERCIAL DE BRITA - empolamento 65% - 28,6Km</t>
  </si>
  <si>
    <t>Autor: Arq. Kaiser Garcia Fontoura</t>
  </si>
  <si>
    <t>74220/001</t>
  </si>
  <si>
    <t>ESCAVAÇÃO DE MATERIAL DE 1A CATEGORIA UTILIZANDO TRATOR DE ESTEIRA</t>
  </si>
  <si>
    <t>74151/001</t>
  </si>
  <si>
    <t>74254/002</t>
  </si>
  <si>
    <t>9.1</t>
  </si>
  <si>
    <t>KG</t>
  </si>
  <si>
    <t>74245/001</t>
  </si>
  <si>
    <t>CONJUNTO DE TRAVES PARA FUTSAL PINTADAS, INCLUSO REDES</t>
  </si>
  <si>
    <t>11.1</t>
  </si>
  <si>
    <t>9.2</t>
  </si>
  <si>
    <t>PINTURA COM TINTA ACRILICA PARA PISOS EM QUADRAS ESPORTIVAS - AZUL</t>
  </si>
  <si>
    <t>PINTURA COM TINTA ACRILICA PARA PISOS EM QUADRAS ESPORTIVAS - AMARELA</t>
  </si>
  <si>
    <t>DEMARCAÇÃO COM TINTA ACRILICA PARA PISOS DE FAIXAS EM QUADRAS ESPORTIVAS - BRANCA</t>
  </si>
  <si>
    <t>LIMPEZA SUPERFICIAL DO TERRENO COM REMOÇÃO DE CAMADA VEGETAL</t>
  </si>
  <si>
    <t>73822/002</t>
  </si>
  <si>
    <t>TRANSPORTE COMERCIAL COM CAMINHAO BASCULANTE 9 M3, RODOVIA PAVIMENTADA</t>
  </si>
  <si>
    <t>2.2</t>
  </si>
  <si>
    <t>2.4</t>
  </si>
  <si>
    <t>3.1</t>
  </si>
  <si>
    <t>3.2</t>
  </si>
  <si>
    <t>3.3</t>
  </si>
  <si>
    <t>3.4</t>
  </si>
  <si>
    <t>8.2</t>
  </si>
  <si>
    <t>9.3</t>
  </si>
  <si>
    <t>ESCAVAÇÃO, CARGA TRANSPORTE DMT 50a 200C/ CAMINHÃO BASCULANTE</t>
  </si>
  <si>
    <t>74154/001</t>
  </si>
  <si>
    <t>74153/001</t>
  </si>
  <si>
    <t xml:space="preserve">ESPALHAMENTO MECANIZADO DE MATERIAL DE 1A CATEGORIA (H:10CM) </t>
  </si>
  <si>
    <t>M3XKM</t>
  </si>
  <si>
    <t>FORNECIMENTO E INST. DE LONA PLÁSTICA PRETA PARA IMPERMEABILIZAÇÃO, ESP 150MICRAS</t>
  </si>
  <si>
    <t>74074/004</t>
  </si>
  <si>
    <t>FORMA TÁBUA PARA CONCRETO EM FUNDAÇÃO SEM REAPROVEITAMENTO</t>
  </si>
  <si>
    <t>ESPALHAMENTO E REGULARIZAÇÃO MECANIZADO DE MATERIAL 1A CATEGORIA</t>
  </si>
  <si>
    <t>MEIO-FIO DE CONCRETO MOLDADO NO LOCAL</t>
  </si>
  <si>
    <t>73789/002</t>
  </si>
  <si>
    <t>CONJUNTO PARA VOLEI (POSTE FOGO H=255 REDE NYLON 2MM)</t>
  </si>
  <si>
    <t>PAR DE TABELAS DE BASQUETE EM COMPENSADO NAVAL 1,80X1,20 COM ARO DE METAL E REDE</t>
  </si>
  <si>
    <t>73967/002</t>
  </si>
  <si>
    <t>74118/001</t>
  </si>
  <si>
    <t>PLANTIO DE CERCA VIVA COM ARBUSTO DE 50 A 100CM COM 4UN/M</t>
  </si>
  <si>
    <t>PORTÃO TELA DE ARAME COM MOLDURA DE AÇO E DUAS FOLHAS DE ABRIR - INCLUSO FERRAGEM</t>
  </si>
  <si>
    <t>74238/002</t>
  </si>
  <si>
    <t>Area da Intervenção: 1059,00 m²</t>
  </si>
  <si>
    <t>LADRILHO HIDRÁULICO TÁTIL DIRECIONAL - VERMELHO 20X20, ASSENTADO C/ ARGAMASA COLANTE</t>
  </si>
  <si>
    <t>LADRILHO HIDRÁULICO TÁTIL ALERTA - VERMELHO 20X20, ASSENTADO C/ ARGAMASA COLANTE</t>
  </si>
  <si>
    <t>10.1</t>
  </si>
  <si>
    <t>ALVENARIA EM TIJOLO CERAMICO FURADO ASSENTADO EM ARGAMASSA TRAÇO 1:4</t>
  </si>
  <si>
    <t>73928/005</t>
  </si>
  <si>
    <t>CHAPISCO TRAÇO 1:3 0,5cm INCLUSO ADITIVO IMPERMEABILIZANTE - PREPARO MECANICO</t>
  </si>
  <si>
    <t>Data base SINAPI: Fevereiro/2014</t>
  </si>
  <si>
    <t>74001/001</t>
  </si>
  <si>
    <t>REBOCO COM ARGAMASSA PRE FABRICADA ESP. 0,5CM PREPARO MECANICO DA ARGAMASSA</t>
  </si>
  <si>
    <t>73750/001</t>
  </si>
  <si>
    <t>PINTURA PVA SOBRE REBOCO - DUAS DEMÃOS</t>
  </si>
  <si>
    <t>4.1</t>
  </si>
  <si>
    <t>4.2</t>
  </si>
  <si>
    <t>4.3</t>
  </si>
  <si>
    <t>4.4</t>
  </si>
  <si>
    <t>4.5</t>
  </si>
  <si>
    <t>4.6</t>
  </si>
  <si>
    <t>5.1</t>
  </si>
  <si>
    <t>5.2</t>
  </si>
  <si>
    <t>5.8</t>
  </si>
  <si>
    <t>5.9</t>
  </si>
  <si>
    <t>6.1</t>
  </si>
  <si>
    <t>6.2</t>
  </si>
  <si>
    <t>6.3</t>
  </si>
  <si>
    <t>7.1</t>
  </si>
  <si>
    <t>7.2</t>
  </si>
  <si>
    <t>7.3</t>
  </si>
  <si>
    <t>7.4</t>
  </si>
  <si>
    <t>11.2</t>
  </si>
  <si>
    <t>11.3</t>
  </si>
  <si>
    <t>11.4</t>
  </si>
  <si>
    <t>Identificação do projeto: PRAÇA DOS ESPORTES - QUADRA CERCADA</t>
  </si>
  <si>
    <t>TERRA VEGETAL - CAMADA DE 20CM</t>
  </si>
  <si>
    <t>PLANTIO DE ARVORE E ARBUSTO COM ALTURA MAIOR QUE 2,00M EM CAVAS .80X.80 QUARESMEIRA</t>
  </si>
  <si>
    <t>ARMAÇÃO AÇO CA-50 DIAM 8.00 FORNECIEMNTO / CORTE/ DOBRA E COLOCAÇÃO</t>
  </si>
  <si>
    <t>ARMAÇÃO AÇO CA-50 DIAM 5.00 FORNECIEMNTO / CORTE/ DOBRA E COLOCAÇÃO</t>
  </si>
  <si>
    <t>74138/003</t>
  </si>
  <si>
    <t>CONCRETO USINADO BOMBEADO 25 MPA, INCLUSIVE LANÇAMENTO E ADENSAMENTO</t>
  </si>
  <si>
    <t>ART/ RRT: 2217569</t>
  </si>
  <si>
    <t>74244/001</t>
  </si>
  <si>
    <t>Tipo de intervenção: INSTALAÇÃO DE QUADRA CERCADA POR ALAMBRADO METÁLICO</t>
  </si>
  <si>
    <t>74164/004</t>
  </si>
  <si>
    <t>ALAMBRADO PARA QUADRA POLIESPORTIVA - COLUNAS E FIO METÁLICO GALVANIZADOS</t>
  </si>
  <si>
    <t>ORÇAMENTÁRIA.</t>
  </si>
  <si>
    <t>Número de contrato: 386.299-53</t>
  </si>
  <si>
    <t>OBSERVAÇÃO:</t>
  </si>
  <si>
    <t xml:space="preserve">OS ENCARGOS SOCIAIS DOS PREÇOS UNITÁRIOS PROPOSTOS ATENDEM AO ESTABELECIDO NO SINAPI CONFORME OS CÓDIGOS ESTABELECIDOS PARA CRIAÇÃO DESTA PLANILHA </t>
  </si>
  <si>
    <t>ASSINATURA DO RESPONSÁVEL TÉCNICO</t>
  </si>
  <si>
    <t>ARQUITETO E URBANISTA KAISER GARCIA FONTOURA</t>
  </si>
  <si>
    <t xml:space="preserve">LASTRO DE BRITA (e= 10 cm) </t>
  </si>
  <si>
    <t>LASTRO DE BRITA (e= 5 cm) REFERENTE A PAVIMENTAÇÃO DA CIRCULAÇÃO</t>
  </si>
  <si>
    <t>TAPUME DE CHAPA DE MADEIRA COMPENSADA E=6MM PINTURA A CAL (COM ÁREA DE ESCAPE DE 1,5m)</t>
  </si>
  <si>
    <t>DESTOCAMENTO DE TRONCOS COM DIAMETRO DE 10CM ATE 30CM</t>
  </si>
  <si>
    <t>REMOCAO DE FIACAO ELETRICA</t>
  </si>
  <si>
    <t>10.2</t>
  </si>
  <si>
    <t>RETIRADA DE APARELHOS DE ILUMINACAO C/ REAPROVEITAMENTO DE LAMPADAS</t>
  </si>
  <si>
    <t>OBRA :</t>
  </si>
  <si>
    <t>COMPOSIÇÕES</t>
  </si>
  <si>
    <t>CÓDIGO</t>
  </si>
  <si>
    <t>DESCRIÇÃO</t>
  </si>
  <si>
    <t>CLASS</t>
  </si>
  <si>
    <t>UNIDADE</t>
  </si>
  <si>
    <t>QUANTIDADE</t>
  </si>
  <si>
    <t>PREÇO(R$)</t>
  </si>
  <si>
    <t>PREÇO TOTAL (R$)/BDI EXCLUSO</t>
  </si>
  <si>
    <t>CPS 1062</t>
  </si>
  <si>
    <t>CAIXA DE MEDICAO COM VISOR, PARA 1 MEDIDOR TRIFASICO, EM CHAPA DE ACO GALVANIZADO 18 USG (SEM MEDIDOR E DISJUNTOR) (PADRAO DA CONCESSIONARIA LOCAL)</t>
  </si>
  <si>
    <t xml:space="preserve">SER.CG </t>
  </si>
  <si>
    <t xml:space="preserve">UN </t>
  </si>
  <si>
    <t>00002436</t>
  </si>
  <si>
    <t>ELETRICISTA OU OFICIAL ELETRICISTA</t>
  </si>
  <si>
    <t xml:space="preserve">M.O. </t>
  </si>
  <si>
    <t xml:space="preserve">H </t>
  </si>
  <si>
    <t>AJUDANTE INSTALADOR ELETRICO</t>
  </si>
  <si>
    <t xml:space="preserve">MAT. </t>
  </si>
  <si>
    <t>CPS 12318</t>
  </si>
  <si>
    <t>REATOR P/ 1 LAMPADA VAPOR DE MERCURIO 400W USO EXT</t>
  </si>
  <si>
    <t>DISJUNTOR TERMOMAGNETICO TRIPOLAR PADRAO NEMA (AMERICANO) 10 A 50A 240V, FORNECIMENTO E INSTALACAO</t>
  </si>
  <si>
    <t>74130/004</t>
  </si>
  <si>
    <t>ELETRODUTO DE PVC RIGIDO ROSCAVEL DN 25MM (1") INCL CONEXOES, FORNECIMENTO E INSTALACAO</t>
  </si>
  <si>
    <t>74252/001</t>
  </si>
  <si>
    <t>CABO DE COBRE ISOLAMENTO TERMOPLASTICO 0,6/1KV 6MM2 ANTI-CHAMA- FORNECIMENTO E INSTALACAO</t>
  </si>
  <si>
    <t>CAIXA DE PASSAGEM 30X30X40 COM TAMPA E DRENO BRITA</t>
  </si>
  <si>
    <t>CAIXA DE PASSGEM 50X50X60 FUNDO BRITA C/ TAMPA</t>
  </si>
  <si>
    <t>HASTE COPPERWELD 5/8 X 3,0M COM CONECTOR</t>
  </si>
  <si>
    <t>POSTE DE ACO CONICO CONTINUO RETO, FLANGEADO, H=9M - FORNECIMENTO E INSTALACAO</t>
  </si>
  <si>
    <t>73769/004</t>
  </si>
  <si>
    <t>LUMINARIA FECHADA PARA ILUMINACAO PUBLICA - LAMPADAS DE 250/500W - FORNECIMENTO E INSTALACAO (EXCLUINDO LAMPADAS)</t>
  </si>
  <si>
    <t>CRUZETA P/POSTE DE AÇO, COMPRIM= 2,4M SECAO TRANSVERSAL 90 X 115MM</t>
  </si>
  <si>
    <t>CPS 10510</t>
  </si>
  <si>
    <t>REFLETOR RETANGULAR FECHADO COM LAMPADA VAPOR METALICO 400 W</t>
  </si>
  <si>
    <t>74246/001</t>
  </si>
  <si>
    <t>RELE FOTOELETRICO P/ COMANDO DE ILUMINACAO EXTERNA 220V/1000W - FORNECIMENTO E INSTALACAO</t>
  </si>
  <si>
    <t>CABO DE COBRE ISOLAMENTO TERMOPLASTICO 0,6/1KV 10MM2 ANTI-CHAMA - FORNECIMENTO E INSTALACAO (RAMAL)</t>
  </si>
  <si>
    <t>12.1</t>
  </si>
  <si>
    <t>12.2</t>
  </si>
  <si>
    <t>12.3</t>
  </si>
  <si>
    <t>12.4</t>
  </si>
  <si>
    <r>
      <t xml:space="preserve">GUARDA CORPO COM CORRIMÃO EM TUBO DE AÇO GALVANIZADO </t>
    </r>
    <r>
      <rPr>
        <sz val="10"/>
        <color indexed="8"/>
        <rFont val="Calibri"/>
        <family val="2"/>
      </rPr>
      <t>ø4,5CM</t>
    </r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</si>
  <si>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</si>
  <si>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</si>
  <si>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</si>
  <si>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</si>
  <si>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</si>
  <si>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</si>
  <si>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</si>
  <si>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</si>
  <si>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</si>
  <si>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</si>
  <si>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</si>
  <si>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</si>
  <si>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</si>
  <si>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PINTURA COM TINTA PROTETORA ACABAMENTO ALUMÍNIO 2 DEMÃOS SOBRE SUPERFICIE METÁLICA</t>
  </si>
  <si>
    <t>ITEM COM INCIDENCIA DE BDI 16,80% - AQUISIÇÃO DE EQUIPAMENTOS E MATERIAIS</t>
  </si>
  <si>
    <t>Endereço: PRAÇA ARATIBA - BALNEÁRIO DOS PRAZERES</t>
  </si>
  <si>
    <t>PRAÇA ARATIBA</t>
  </si>
  <si>
    <t>CRONOGRAMA FÍSICO FINANCEIRO</t>
  </si>
  <si>
    <t>ITENS COM ALTERAÇÃO NO QUANTITATIVO</t>
  </si>
  <si>
    <t>CAMADA DRENANTE DE AREIA MÉDIA</t>
  </si>
  <si>
    <t>5.10</t>
  </si>
  <si>
    <t>ITENS ACRESCENTADOS NA PLANILHA ORÇAMENTÁRIA</t>
  </si>
  <si>
    <t>5.11</t>
  </si>
  <si>
    <t>5.12</t>
  </si>
  <si>
    <t>5.13</t>
  </si>
  <si>
    <t>5.14</t>
  </si>
  <si>
    <t>MÁQUINA DE CORTAR CONCRETO COM MOTOR A GASOLINA DE 10HP</t>
  </si>
  <si>
    <t>SELANTE A BASE DE POLIURETANO SIKAFLEX</t>
  </si>
  <si>
    <t>APLICAÇÃO DE RESINA ACRÍLICA</t>
  </si>
  <si>
    <t>H</t>
  </si>
  <si>
    <t>L</t>
  </si>
  <si>
    <t>TOTAL LICITADO</t>
  </si>
  <si>
    <t>DIFERENÇA</t>
  </si>
  <si>
    <t>Data de elaboração: FEVEREIRO/2015</t>
  </si>
  <si>
    <t>REPROGRAMAÇÃO - PLANILHA ORÇAMENTÁRIA</t>
  </si>
  <si>
    <t>DESEMPENADEIRA ELÉTRICA</t>
  </si>
  <si>
    <t>5.15</t>
  </si>
  <si>
    <t>OPERADOR DE MÁQUINAS E EQUIPAMENTOS</t>
  </si>
  <si>
    <t>IMPLANTAÇÃO E ADMINISTRAÇÃO</t>
  </si>
  <si>
    <t>MOVIMENTO DE CARGA E SERVIÇOS CORRELATOS</t>
  </si>
  <si>
    <t>REVESTIMENTO DE PISOS</t>
  </si>
  <si>
    <t>EXECUÇÃO DE RADIER</t>
  </si>
  <si>
    <t>PINTURA DE QUADRA POLIESPORTIVA</t>
  </si>
  <si>
    <t>FLOREIRAS EM ALVENARIA</t>
  </si>
  <si>
    <t>ALAMBRADO METÁLICO</t>
  </si>
  <si>
    <t>KIT BÁSICO  -  MATERIAIS ESPORTIVOS</t>
  </si>
  <si>
    <t xml:space="preserve">CORRIMÃO </t>
  </si>
  <si>
    <t>INSTALAÇÕES ELETRICAS</t>
  </si>
  <si>
    <t>SERVIÇOS COMPLEMENTARES</t>
  </si>
  <si>
    <t>QUANT. REP.</t>
  </si>
  <si>
    <t>QUANT.LIC.</t>
  </si>
  <si>
    <t>Revisor: Eng. Karen Almeida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</si>
</sst>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&quot;R$&quot;\ #,##0.00"/>
    <numFmt numFmtId="166" formatCode="#,##0.00\ ;\-#,##0.00\ ;&quot; -&quot;#\ ;@\ 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1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i/>
      <u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9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6" fillId="0" borderId="0" xfId="3" applyFont="1" applyProtection="1"/>
    <xf numFmtId="0" fontId="6" fillId="0" borderId="0" xfId="3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0" xfId="0" applyAlignmen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10" fillId="0" borderId="2" xfId="0" applyFont="1" applyBorder="1" applyAlignment="1">
      <alignment vertical="center"/>
    </xf>
    <xf numFmtId="9" fontId="10" fillId="0" borderId="2" xfId="0" applyNumberFormat="1" applyFont="1" applyBorder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Alignment="1">
      <alignment vertical="center"/>
    </xf>
    <xf numFmtId="0" fontId="6" fillId="2" borderId="0" xfId="3" applyFont="1" applyFill="1" applyProtection="1"/>
    <xf numFmtId="0" fontId="6" fillId="2" borderId="0" xfId="3" applyFont="1" applyFill="1" applyAlignment="1" applyProtection="1">
      <alignment vertical="center"/>
    </xf>
    <xf numFmtId="10" fontId="6" fillId="0" borderId="1" xfId="3" applyNumberFormat="1" applyFont="1" applyBorder="1" applyAlignment="1" applyProtection="1">
      <alignment horizontal="center" vertical="center" wrapText="1"/>
    </xf>
    <xf numFmtId="165" fontId="6" fillId="0" borderId="1" xfId="3" applyNumberFormat="1" applyFont="1" applyBorder="1" applyAlignment="1" applyProtection="1">
      <alignment horizontal="right" vertical="center" wrapText="1"/>
    </xf>
    <xf numFmtId="165" fontId="6" fillId="0" borderId="1" xfId="3" applyNumberFormat="1" applyFont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/>
    </xf>
    <xf numFmtId="0" fontId="4" fillId="0" borderId="1" xfId="0" applyFont="1" applyFill="1" applyBorder="1"/>
    <xf numFmtId="0" fontId="0" fillId="0" borderId="1" xfId="0" applyBorder="1"/>
    <xf numFmtId="10" fontId="13" fillId="0" borderId="1" xfId="0" applyNumberFormat="1" applyFont="1" applyBorder="1"/>
    <xf numFmtId="0" fontId="0" fillId="0" borderId="0" xfId="0" applyBorder="1"/>
    <xf numFmtId="0" fontId="23" fillId="0" borderId="0" xfId="0" applyFont="1" applyFill="1" applyBorder="1"/>
    <xf numFmtId="0" fontId="3" fillId="0" borderId="0" xfId="0" applyFont="1" applyFill="1"/>
    <xf numFmtId="10" fontId="3" fillId="0" borderId="0" xfId="0" applyNumberFormat="1" applyFont="1" applyFill="1"/>
    <xf numFmtId="4" fontId="4" fillId="0" borderId="1" xfId="0" applyNumberFormat="1" applyFont="1" applyFill="1" applyBorder="1"/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10" fontId="3" fillId="6" borderId="0" xfId="0" applyNumberFormat="1" applyFont="1" applyFill="1"/>
    <xf numFmtId="10" fontId="6" fillId="0" borderId="1" xfId="3" applyNumberFormat="1" applyFont="1" applyBorder="1" applyAlignment="1" applyProtection="1">
      <alignment horizontal="justify" vertical="center" wrapText="1"/>
    </xf>
    <xf numFmtId="0" fontId="6" fillId="2" borderId="3" xfId="3" applyFont="1" applyFill="1" applyBorder="1" applyAlignment="1" applyProtection="1">
      <alignment vertical="center"/>
    </xf>
    <xf numFmtId="0" fontId="7" fillId="2" borderId="3" xfId="3" applyFont="1" applyFill="1" applyBorder="1" applyAlignment="1" applyProtection="1">
      <alignment vertical="center"/>
    </xf>
    <xf numFmtId="165" fontId="10" fillId="2" borderId="3" xfId="0" applyNumberFormat="1" applyFont="1" applyFill="1" applyBorder="1" applyAlignment="1">
      <alignment vertical="center"/>
    </xf>
    <xf numFmtId="10" fontId="10" fillId="2" borderId="3" xfId="0" applyNumberFormat="1" applyFont="1" applyFill="1" applyBorder="1" applyAlignment="1">
      <alignment vertical="center"/>
    </xf>
    <xf numFmtId="165" fontId="7" fillId="2" borderId="3" xfId="3" applyNumberFormat="1" applyFont="1" applyFill="1" applyBorder="1" applyAlignment="1" applyProtection="1">
      <alignment vertical="center"/>
    </xf>
    <xf numFmtId="10" fontId="7" fillId="2" borderId="3" xfId="3" applyNumberFormat="1" applyFont="1" applyFill="1" applyBorder="1" applyAlignment="1" applyProtection="1">
      <alignment vertical="center"/>
    </xf>
    <xf numFmtId="165" fontId="6" fillId="0" borderId="4" xfId="3" applyNumberFormat="1" applyFont="1" applyBorder="1" applyAlignment="1" applyProtection="1">
      <alignment horizontal="right" vertical="center" wrapText="1"/>
    </xf>
    <xf numFmtId="10" fontId="6" fillId="0" borderId="4" xfId="3" applyNumberFormat="1" applyFont="1" applyBorder="1" applyAlignment="1" applyProtection="1">
      <alignment horizontal="justify" vertical="center" wrapText="1"/>
    </xf>
    <xf numFmtId="0" fontId="10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5" fillId="0" borderId="1" xfId="0" applyFont="1" applyFill="1" applyBorder="1"/>
    <xf numFmtId="0" fontId="29" fillId="0" borderId="1" xfId="0" applyFont="1" applyFill="1" applyBorder="1" applyAlignment="1">
      <alignment horizontal="right"/>
    </xf>
    <xf numFmtId="9" fontId="10" fillId="0" borderId="1" xfId="0" applyNumberFormat="1" applyFont="1" applyFill="1" applyBorder="1" applyAlignment="1">
      <alignment vertical="center"/>
    </xf>
    <xf numFmtId="0" fontId="21" fillId="7" borderId="1" xfId="0" applyFont="1" applyFill="1" applyBorder="1"/>
    <xf numFmtId="0" fontId="5" fillId="7" borderId="1" xfId="0" applyFont="1" applyFill="1" applyBorder="1"/>
    <xf numFmtId="0" fontId="3" fillId="7" borderId="0" xfId="0" applyFont="1" applyFill="1"/>
    <xf numFmtId="0" fontId="3" fillId="7" borderId="1" xfId="0" applyFont="1" applyFill="1" applyBorder="1"/>
    <xf numFmtId="0" fontId="0" fillId="7" borderId="1" xfId="0" applyFill="1" applyBorder="1"/>
    <xf numFmtId="0" fontId="18" fillId="7" borderId="1" xfId="0" applyFont="1" applyFill="1" applyBorder="1" applyAlignment="1">
      <alignment vertical="center"/>
    </xf>
    <xf numFmtId="0" fontId="4" fillId="0" borderId="5" xfId="0" applyFont="1" applyBorder="1"/>
    <xf numFmtId="0" fontId="11" fillId="0" borderId="8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165" fontId="22" fillId="0" borderId="8" xfId="0" applyNumberFormat="1" applyFont="1" applyFill="1" applyBorder="1" applyAlignment="1">
      <alignment horizontal="center"/>
    </xf>
    <xf numFmtId="165" fontId="22" fillId="0" borderId="9" xfId="0" applyNumberFormat="1" applyFont="1" applyFill="1" applyBorder="1" applyAlignment="1">
      <alignment horizontal="center"/>
    </xf>
    <xf numFmtId="9" fontId="22" fillId="0" borderId="8" xfId="4" applyFont="1" applyFill="1" applyBorder="1"/>
    <xf numFmtId="0" fontId="3" fillId="8" borderId="0" xfId="0" applyFont="1" applyFill="1"/>
    <xf numFmtId="0" fontId="20" fillId="0" borderId="1" xfId="0" applyFont="1" applyFill="1" applyBorder="1"/>
    <xf numFmtId="0" fontId="4" fillId="0" borderId="5" xfId="0" applyFont="1" applyFill="1" applyBorder="1"/>
    <xf numFmtId="0" fontId="3" fillId="0" borderId="1" xfId="0" applyFont="1" applyFill="1" applyBorder="1" applyAlignment="1">
      <alignment horizontal="right"/>
    </xf>
    <xf numFmtId="10" fontId="6" fillId="0" borderId="0" xfId="3" applyNumberFormat="1" applyFont="1" applyProtection="1"/>
    <xf numFmtId="4" fontId="5" fillId="9" borderId="1" xfId="0" applyNumberFormat="1" applyFont="1" applyFill="1" applyBorder="1"/>
    <xf numFmtId="0" fontId="15" fillId="10" borderId="1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left"/>
    </xf>
    <xf numFmtId="0" fontId="3" fillId="9" borderId="0" xfId="0" applyFont="1" applyFill="1"/>
    <xf numFmtId="0" fontId="11" fillId="0" borderId="8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left"/>
    </xf>
    <xf numFmtId="0" fontId="10" fillId="11" borderId="10" xfId="2" applyNumberFormat="1" applyFont="1" applyFill="1" applyBorder="1" applyAlignment="1" applyProtection="1">
      <alignment horizontal="right" wrapText="1"/>
    </xf>
    <xf numFmtId="0" fontId="10" fillId="11" borderId="11" xfId="2" applyNumberFormat="1" applyFont="1" applyFill="1" applyBorder="1" applyAlignment="1" applyProtection="1">
      <alignment horizontal="left" wrapText="1"/>
    </xf>
    <xf numFmtId="166" fontId="10" fillId="11" borderId="11" xfId="5" applyNumberFormat="1" applyFont="1" applyFill="1" applyBorder="1" applyAlignment="1" applyProtection="1">
      <alignment horizontal="right" wrapText="1"/>
    </xf>
    <xf numFmtId="166" fontId="10" fillId="11" borderId="12" xfId="5" applyNumberFormat="1" applyFont="1" applyFill="1" applyBorder="1" applyAlignment="1" applyProtection="1">
      <alignment horizontal="right" wrapText="1"/>
    </xf>
    <xf numFmtId="0" fontId="10" fillId="3" borderId="0" xfId="2" applyNumberFormat="1" applyFont="1" applyFill="1" applyBorder="1" applyAlignment="1" applyProtection="1">
      <alignment horizontal="right" wrapText="1"/>
    </xf>
    <xf numFmtId="0" fontId="10" fillId="3" borderId="0" xfId="2" applyNumberFormat="1" applyFont="1" applyFill="1" applyBorder="1" applyAlignment="1" applyProtection="1">
      <alignment horizontal="left" wrapText="1"/>
    </xf>
    <xf numFmtId="166" fontId="10" fillId="3" borderId="0" xfId="5" applyNumberFormat="1" applyFont="1" applyFill="1" applyBorder="1" applyAlignment="1" applyProtection="1">
      <alignment horizontal="right" wrapText="1"/>
    </xf>
    <xf numFmtId="0" fontId="10" fillId="12" borderId="1" xfId="2" applyNumberFormat="1" applyFont="1" applyFill="1" applyBorder="1" applyAlignment="1" applyProtection="1">
      <alignment horizontal="center" vertical="center" wrapText="1"/>
    </xf>
    <xf numFmtId="166" fontId="10" fillId="12" borderId="1" xfId="5" applyNumberFormat="1" applyFont="1" applyFill="1" applyBorder="1" applyAlignment="1" applyProtection="1">
      <alignment horizontal="right" vertical="center" wrapText="1"/>
    </xf>
    <xf numFmtId="166" fontId="10" fillId="12" borderId="1" xfId="5" applyNumberFormat="1" applyFont="1" applyFill="1" applyBorder="1" applyAlignment="1" applyProtection="1">
      <alignment horizontal="center" vertical="center" wrapText="1"/>
    </xf>
    <xf numFmtId="0" fontId="25" fillId="4" borderId="1" xfId="1" applyFont="1" applyFill="1" applyBorder="1" applyAlignment="1">
      <alignment horizontal="left" vertical="top" wrapText="1"/>
    </xf>
    <xf numFmtId="2" fontId="25" fillId="4" borderId="1" xfId="1" applyNumberFormat="1" applyFont="1" applyFill="1" applyBorder="1" applyAlignment="1">
      <alignment horizontal="left" vertical="top" wrapText="1"/>
    </xf>
    <xf numFmtId="4" fontId="25" fillId="4" borderId="1" xfId="1" applyNumberFormat="1" applyFont="1" applyFill="1" applyBorder="1" applyAlignment="1">
      <alignment horizontal="left" vertical="top" wrapText="1"/>
    </xf>
    <xf numFmtId="4" fontId="26" fillId="5" borderId="1" xfId="1" applyNumberFormat="1" applyFont="1" applyFill="1" applyBorder="1" applyAlignment="1">
      <alignment horizontal="left" vertical="top" wrapText="1"/>
    </xf>
    <xf numFmtId="0" fontId="26" fillId="5" borderId="1" xfId="1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0" fontId="28" fillId="0" borderId="0" xfId="1" applyFont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vertical="center"/>
    </xf>
    <xf numFmtId="0" fontId="4" fillId="13" borderId="1" xfId="0" applyFont="1" applyFill="1" applyBorder="1"/>
    <xf numFmtId="0" fontId="4" fillId="13" borderId="1" xfId="0" applyFont="1" applyFill="1" applyBorder="1" applyAlignment="1">
      <alignment horizontal="center"/>
    </xf>
    <xf numFmtId="4" fontId="4" fillId="13" borderId="1" xfId="0" applyNumberFormat="1" applyFont="1" applyFill="1" applyBorder="1" applyAlignment="1">
      <alignment horizontal="center"/>
    </xf>
    <xf numFmtId="4" fontId="4" fillId="13" borderId="1" xfId="0" applyNumberFormat="1" applyFont="1" applyFill="1" applyBorder="1"/>
    <xf numFmtId="4" fontId="5" fillId="13" borderId="1" xfId="0" applyNumberFormat="1" applyFont="1" applyFill="1" applyBorder="1"/>
    <xf numFmtId="4" fontId="5" fillId="13" borderId="1" xfId="0" applyNumberFormat="1" applyFont="1" applyFill="1" applyBorder="1" applyAlignment="1">
      <alignment horizontal="right"/>
    </xf>
    <xf numFmtId="10" fontId="13" fillId="13" borderId="1" xfId="0" applyNumberFormat="1" applyFont="1" applyFill="1" applyBorder="1"/>
    <xf numFmtId="4" fontId="13" fillId="0" borderId="1" xfId="0" applyNumberFormat="1" applyFont="1" applyFill="1" applyBorder="1"/>
    <xf numFmtId="10" fontId="13" fillId="0" borderId="1" xfId="0" applyNumberFormat="1" applyFont="1" applyFill="1" applyBorder="1"/>
    <xf numFmtId="0" fontId="11" fillId="13" borderId="1" xfId="0" applyFont="1" applyFill="1" applyBorder="1" applyAlignment="1">
      <alignment horizontal="left"/>
    </xf>
    <xf numFmtId="4" fontId="4" fillId="8" borderId="1" xfId="0" applyNumberFormat="1" applyFont="1" applyFill="1" applyBorder="1" applyAlignment="1">
      <alignment horizontal="center"/>
    </xf>
    <xf numFmtId="0" fontId="11" fillId="8" borderId="8" xfId="0" applyFont="1" applyFill="1" applyBorder="1" applyAlignment="1">
      <alignment horizontal="left"/>
    </xf>
    <xf numFmtId="0" fontId="0" fillId="14" borderId="1" xfId="0" applyFill="1" applyBorder="1"/>
    <xf numFmtId="0" fontId="0" fillId="14" borderId="1" xfId="0" applyFill="1" applyBorder="1" applyAlignment="1">
      <alignment horizontal="right"/>
    </xf>
    <xf numFmtId="0" fontId="4" fillId="14" borderId="1" xfId="0" applyFont="1" applyFill="1" applyBorder="1"/>
    <xf numFmtId="0" fontId="4" fillId="14" borderId="1" xfId="0" applyFont="1" applyFill="1" applyBorder="1" applyAlignment="1">
      <alignment horizontal="center"/>
    </xf>
    <xf numFmtId="4" fontId="4" fillId="14" borderId="1" xfId="0" applyNumberFormat="1" applyFont="1" applyFill="1" applyBorder="1" applyAlignment="1">
      <alignment horizontal="center"/>
    </xf>
    <xf numFmtId="4" fontId="4" fillId="14" borderId="1" xfId="0" applyNumberFormat="1" applyFont="1" applyFill="1" applyBorder="1"/>
    <xf numFmtId="4" fontId="5" fillId="14" borderId="1" xfId="0" applyNumberFormat="1" applyFont="1" applyFill="1" applyBorder="1"/>
    <xf numFmtId="4" fontId="5" fillId="14" borderId="1" xfId="0" applyNumberFormat="1" applyFont="1" applyFill="1" applyBorder="1" applyAlignment="1">
      <alignment horizontal="right"/>
    </xf>
    <xf numFmtId="4" fontId="13" fillId="14" borderId="1" xfId="0" applyNumberFormat="1" applyFont="1" applyFill="1" applyBorder="1"/>
    <xf numFmtId="10" fontId="13" fillId="14" borderId="1" xfId="0" applyNumberFormat="1" applyFont="1" applyFill="1" applyBorder="1"/>
    <xf numFmtId="0" fontId="11" fillId="14" borderId="8" xfId="0" applyFont="1" applyFill="1" applyBorder="1" applyAlignment="1">
      <alignment horizontal="left"/>
    </xf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/>
    </xf>
    <xf numFmtId="4" fontId="4" fillId="8" borderId="1" xfId="0" applyNumberFormat="1" applyFont="1" applyFill="1" applyBorder="1"/>
    <xf numFmtId="4" fontId="5" fillId="8" borderId="1" xfId="0" applyNumberFormat="1" applyFont="1" applyFill="1" applyBorder="1"/>
    <xf numFmtId="4" fontId="5" fillId="8" borderId="1" xfId="0" applyNumberFormat="1" applyFont="1" applyFill="1" applyBorder="1" applyAlignment="1">
      <alignment horizontal="right"/>
    </xf>
    <xf numFmtId="10" fontId="13" fillId="8" borderId="1" xfId="0" applyNumberFormat="1" applyFont="1" applyFill="1" applyBorder="1"/>
    <xf numFmtId="165" fontId="22" fillId="7" borderId="1" xfId="4" applyNumberFormat="1" applyFont="1" applyFill="1" applyBorder="1"/>
    <xf numFmtId="165" fontId="13" fillId="13" borderId="1" xfId="0" applyNumberFormat="1" applyFont="1" applyFill="1" applyBorder="1"/>
    <xf numFmtId="165" fontId="13" fillId="8" borderId="1" xfId="0" applyNumberFormat="1" applyFont="1" applyFill="1" applyBorder="1"/>
    <xf numFmtId="165" fontId="13" fillId="14" borderId="1" xfId="0" applyNumberFormat="1" applyFont="1" applyFill="1" applyBorder="1"/>
    <xf numFmtId="165" fontId="0" fillId="0" borderId="0" xfId="0" applyNumberFormat="1"/>
    <xf numFmtId="165" fontId="22" fillId="7" borderId="5" xfId="0" applyNumberFormat="1" applyFont="1" applyFill="1" applyBorder="1" applyAlignment="1"/>
    <xf numFmtId="165" fontId="22" fillId="7" borderId="7" xfId="0" applyNumberFormat="1" applyFont="1" applyFill="1" applyBorder="1" applyAlignment="1"/>
    <xf numFmtId="165" fontId="13" fillId="0" borderId="1" xfId="0" applyNumberFormat="1" applyFont="1" applyBorder="1"/>
    <xf numFmtId="165" fontId="4" fillId="0" borderId="1" xfId="0" applyNumberFormat="1" applyFont="1" applyFill="1" applyBorder="1"/>
    <xf numFmtId="165" fontId="13" fillId="0" borderId="1" xfId="0" applyNumberFormat="1" applyFont="1" applyFill="1" applyBorder="1"/>
    <xf numFmtId="10" fontId="22" fillId="7" borderId="1" xfId="4" applyNumberFormat="1" applyFont="1" applyFill="1" applyBorder="1"/>
    <xf numFmtId="165" fontId="3" fillId="0" borderId="0" xfId="0" applyNumberFormat="1" applyFont="1" applyFill="1"/>
    <xf numFmtId="165" fontId="0" fillId="0" borderId="0" xfId="0" applyNumberFormat="1" applyFill="1"/>
    <xf numFmtId="10" fontId="0" fillId="0" borderId="0" xfId="0" applyNumberFormat="1"/>
    <xf numFmtId="10" fontId="0" fillId="0" borderId="0" xfId="0" applyNumberFormat="1" applyFill="1"/>
    <xf numFmtId="165" fontId="4" fillId="0" borderId="1" xfId="0" applyNumberFormat="1" applyFont="1" applyBorder="1"/>
    <xf numFmtId="165" fontId="4" fillId="14" borderId="1" xfId="0" applyNumberFormat="1" applyFont="1" applyFill="1" applyBorder="1"/>
    <xf numFmtId="165" fontId="4" fillId="8" borderId="1" xfId="0" applyNumberFormat="1" applyFont="1" applyFill="1" applyBorder="1"/>
    <xf numFmtId="165" fontId="4" fillId="13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4" fontId="5" fillId="14" borderId="1" xfId="0" applyNumberFormat="1" applyFont="1" applyFill="1" applyBorder="1" applyAlignment="1">
      <alignment horizontal="center"/>
    </xf>
    <xf numFmtId="165" fontId="5" fillId="14" borderId="1" xfId="0" applyNumberFormat="1" applyFont="1" applyFill="1" applyBorder="1"/>
    <xf numFmtId="0" fontId="0" fillId="13" borderId="1" xfId="0" applyFill="1" applyBorder="1" applyAlignment="1">
      <alignment horizontal="right"/>
    </xf>
    <xf numFmtId="165" fontId="6" fillId="0" borderId="4" xfId="3" applyNumberFormat="1" applyFont="1" applyBorder="1" applyAlignment="1" applyProtection="1">
      <alignment horizontal="right" vertical="center" wrapText="1"/>
    </xf>
    <xf numFmtId="0" fontId="18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left" vertical="center"/>
    </xf>
    <xf numFmtId="10" fontId="22" fillId="7" borderId="0" xfId="4" applyNumberFormat="1" applyFont="1" applyFill="1" applyBorder="1"/>
    <xf numFmtId="10" fontId="6" fillId="2" borderId="4" xfId="3" applyNumberFormat="1" applyFont="1" applyFill="1" applyBorder="1" applyAlignment="1" applyProtection="1">
      <alignment vertical="center"/>
    </xf>
    <xf numFmtId="165" fontId="22" fillId="7" borderId="5" xfId="0" applyNumberFormat="1" applyFont="1" applyFill="1" applyBorder="1" applyAlignment="1">
      <alignment horizontal="center"/>
    </xf>
    <xf numFmtId="165" fontId="22" fillId="7" borderId="7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left"/>
    </xf>
    <xf numFmtId="0" fontId="11" fillId="7" borderId="7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165" fontId="22" fillId="7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65" fontId="22" fillId="0" borderId="16" xfId="4" applyNumberFormat="1" applyFont="1" applyFill="1" applyBorder="1"/>
    <xf numFmtId="10" fontId="18" fillId="7" borderId="29" xfId="0" applyNumberFormat="1" applyFont="1" applyFill="1" applyBorder="1" applyAlignment="1">
      <alignment horizontal="center" vertical="center"/>
    </xf>
    <xf numFmtId="165" fontId="18" fillId="7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18" fillId="7" borderId="27" xfId="0" applyNumberFormat="1" applyFont="1" applyFill="1" applyBorder="1" applyAlignment="1">
      <alignment horizontal="center" vertical="center"/>
    </xf>
    <xf numFmtId="165" fontId="18" fillId="7" borderId="28" xfId="0" applyNumberFormat="1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left" vertical="center"/>
    </xf>
    <xf numFmtId="0" fontId="18" fillId="7" borderId="26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7" xfId="0" applyFont="1" applyFill="1" applyBorder="1" applyAlignment="1">
      <alignment horizontal="left"/>
    </xf>
    <xf numFmtId="165" fontId="22" fillId="7" borderId="5" xfId="0" applyNumberFormat="1" applyFont="1" applyFill="1" applyBorder="1" applyAlignment="1">
      <alignment horizontal="center"/>
    </xf>
    <xf numFmtId="165" fontId="22" fillId="7" borderId="7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left"/>
    </xf>
    <xf numFmtId="0" fontId="17" fillId="7" borderId="1" xfId="0" applyFont="1" applyFill="1" applyBorder="1" applyAlignment="1">
      <alignment horizontal="left"/>
    </xf>
    <xf numFmtId="165" fontId="22" fillId="7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7" fillId="0" borderId="1" xfId="3" applyFont="1" applyBorder="1" applyAlignment="1" applyProtection="1">
      <alignment horizontal="justify" vertical="center" wrapText="1"/>
    </xf>
    <xf numFmtId="10" fontId="6" fillId="0" borderId="1" xfId="3" applyNumberFormat="1" applyFont="1" applyBorder="1" applyAlignment="1" applyProtection="1">
      <alignment horizontal="right" vertical="center" wrapText="1"/>
    </xf>
    <xf numFmtId="165" fontId="6" fillId="0" borderId="1" xfId="3" applyNumberFormat="1" applyFont="1" applyBorder="1" applyAlignment="1" applyProtection="1">
      <alignment horizontal="justify" vertical="center" wrapText="1"/>
    </xf>
    <xf numFmtId="10" fontId="6" fillId="0" borderId="17" xfId="3" applyNumberFormat="1" applyFont="1" applyBorder="1" applyAlignment="1" applyProtection="1">
      <alignment horizontal="center" vertical="center" wrapText="1"/>
    </xf>
    <xf numFmtId="10" fontId="6" fillId="0" borderId="18" xfId="3" applyNumberFormat="1" applyFont="1" applyBorder="1" applyAlignment="1" applyProtection="1">
      <alignment horizontal="center" vertical="center" wrapText="1"/>
    </xf>
    <xf numFmtId="10" fontId="6" fillId="0" borderId="1" xfId="3" applyNumberFormat="1" applyFont="1" applyBorder="1" applyAlignment="1" applyProtection="1">
      <alignment horizontal="center" vertical="center" wrapText="1"/>
    </xf>
    <xf numFmtId="165" fontId="6" fillId="0" borderId="1" xfId="3" applyNumberFormat="1" applyFont="1" applyBorder="1" applyAlignment="1" applyProtection="1">
      <alignment horizontal="right" vertical="center" wrapText="1"/>
    </xf>
    <xf numFmtId="0" fontId="6" fillId="0" borderId="1" xfId="3" applyFont="1" applyBorder="1" applyAlignment="1" applyProtection="1">
      <alignment horizontal="right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6" fillId="2" borderId="22" xfId="3" applyFont="1" applyFill="1" applyBorder="1" applyAlignment="1" applyProtection="1">
      <alignment horizontal="center" vertical="center" wrapText="1"/>
    </xf>
    <xf numFmtId="0" fontId="6" fillId="2" borderId="24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7" fillId="2" borderId="3" xfId="3" applyNumberFormat="1" applyFont="1" applyFill="1" applyBorder="1" applyAlignment="1" applyProtection="1">
      <alignment vertical="center"/>
    </xf>
    <xf numFmtId="0" fontId="6" fillId="2" borderId="23" xfId="3" applyFont="1" applyFill="1" applyBorder="1" applyAlignment="1" applyProtection="1">
      <alignment horizontal="center" vertical="center" wrapText="1"/>
    </xf>
    <xf numFmtId="0" fontId="6" fillId="2" borderId="25" xfId="3" applyFont="1" applyFill="1" applyBorder="1" applyAlignment="1" applyProtection="1">
      <alignment horizontal="center" vertical="center" wrapText="1"/>
    </xf>
    <xf numFmtId="165" fontId="6" fillId="0" borderId="4" xfId="3" applyNumberFormat="1" applyFont="1" applyBorder="1" applyAlignment="1" applyProtection="1">
      <alignment horizontal="right" vertical="center" wrapText="1"/>
    </xf>
    <xf numFmtId="0" fontId="6" fillId="0" borderId="4" xfId="3" applyFont="1" applyBorder="1" applyAlignment="1" applyProtection="1">
      <alignment horizontal="right" vertical="center" wrapText="1"/>
    </xf>
    <xf numFmtId="10" fontId="6" fillId="0" borderId="4" xfId="3" applyNumberFormat="1" applyFont="1" applyBorder="1" applyAlignment="1" applyProtection="1">
      <alignment horizontal="center" vertical="center" wrapText="1"/>
    </xf>
    <xf numFmtId="165" fontId="6" fillId="0" borderId="4" xfId="3" applyNumberFormat="1" applyFont="1" applyBorder="1" applyAlignment="1" applyProtection="1">
      <alignment horizontal="justify" vertical="center" wrapText="1"/>
    </xf>
    <xf numFmtId="0" fontId="7" fillId="0" borderId="4" xfId="3" applyFont="1" applyBorder="1" applyAlignment="1" applyProtection="1">
      <alignment horizontal="justify" vertical="center" wrapText="1"/>
    </xf>
    <xf numFmtId="0" fontId="7" fillId="0" borderId="17" xfId="3" applyFont="1" applyBorder="1" applyAlignment="1" applyProtection="1">
      <alignment horizontal="justify" vertical="center" wrapText="1"/>
    </xf>
    <xf numFmtId="10" fontId="6" fillId="0" borderId="4" xfId="3" applyNumberFormat="1" applyFont="1" applyBorder="1" applyAlignment="1" applyProtection="1">
      <alignment horizontal="righ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7" xfId="0" applyFont="1" applyFill="1" applyBorder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</cellXfs>
  <cellStyles count="7">
    <cellStyle name="Excel Built-in Normal" xfId="1"/>
    <cellStyle name="Excel Built-in Normal 1" xfId="2"/>
    <cellStyle name="Normal" xfId="0" builtinId="0"/>
    <cellStyle name="Normal 2" xfId="3"/>
    <cellStyle name="Porcentagem" xfId="4" builtinId="5"/>
    <cellStyle name="Separador de milhares" xfId="5" builtinId="3"/>
    <cellStyle name="Separador de milhares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152399</xdr:colOff>
      <xdr:row>0</xdr:row>
      <xdr:rowOff>141515</xdr:rowOff>
    </xdr:from>
    <xdr:to>
      <xdr:col>6</xdr:col>
      <xdr:colOff>628650</xdr:colOff>
      <xdr:row>0</xdr:row>
      <xdr:rowOff>740066</xdr:rowOff>
    </xdr:to>
    <xdr:pic>
      <xdr:nvPicPr>
        <xdr:cNvPr id="6623" name="Imagem 2" descr="logo UGP 2013-2016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67849" y="141515"/>
          <a:ext cx="2076451" cy="598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1369218</xdr:colOff>
      <xdr:row>101</xdr:row>
      <xdr:rowOff>166687</xdr:rowOff>
    </xdr:from>
    <xdr:to>
      <xdr:col>3</xdr:col>
      <xdr:colOff>5024437</xdr:colOff>
      <xdr:row>101</xdr:row>
      <xdr:rowOff>168275</xdr:rowOff>
    </xdr:to>
    <xdr:cxnSp macro="">
      <xdr:nvCxnSpPr>
        <xdr:cNvPr id="4" name="Conector reto 3"/>
        <xdr:cNvCxnSpPr/>
      </xdr:nvCxnSpPr>
      <xdr:spPr>
        <a:xfrm>
          <a:off x="4179093" y="17478375"/>
          <a:ext cx="3655219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0</xdr:row>
      <xdr:rowOff>0</xdr:rowOff>
    </xdr:from>
    <xdr:to>
      <xdr:col>1</xdr:col>
      <xdr:colOff>2266950</xdr:colOff>
      <xdr:row>0</xdr:row>
      <xdr:rowOff>0</xdr:rowOff>
    </xdr:to>
    <xdr:pic>
      <xdr:nvPicPr>
        <xdr:cNvPr id="7510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5025" y="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0</xdr:row>
      <xdr:rowOff>0</xdr:rowOff>
    </xdr:from>
    <xdr:to>
      <xdr:col>1</xdr:col>
      <xdr:colOff>457200</xdr:colOff>
      <xdr:row>0</xdr:row>
      <xdr:rowOff>0</xdr:rowOff>
    </xdr:to>
    <xdr:pic>
      <xdr:nvPicPr>
        <xdr:cNvPr id="7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0"/>
          <a:ext cx="71437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4</xdr:col>
      <xdr:colOff>38100</xdr:colOff>
      <xdr:row>1</xdr:row>
      <xdr:rowOff>28575</xdr:rowOff>
    </xdr:from>
    <xdr:to>
      <xdr:col>6</xdr:col>
      <xdr:colOff>676275</xdr:colOff>
      <xdr:row>1</xdr:row>
      <xdr:rowOff>828675</xdr:rowOff>
    </xdr:to>
    <xdr:pic>
      <xdr:nvPicPr>
        <xdr:cNvPr id="7512" name="Imagem 4" descr="LOGO NOVO.bmp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29200" y="190500"/>
          <a:ext cx="2333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0"/>
  <sheetViews>
    <sheetView tabSelected="1" topLeftCell="E58" zoomScale="70" zoomScaleNormal="70" zoomScaleSheetLayoutView="70" workbookViewId="0">
      <selection activeCell="T95" sqref="T95"/>
    </sheetView>
  </sheetViews>
  <sheetFormatPr defaultRowHeight="15"/>
  <cols>
    <col min="1" max="1" width="4.7109375" customWidth="1"/>
    <col min="2" max="2" width="30.5703125" customWidth="1"/>
    <col min="3" max="3" width="7" customWidth="1"/>
    <col min="4" max="4" width="97.140625" customWidth="1"/>
    <col min="5" max="5" width="9.7109375" style="6" customWidth="1"/>
    <col min="6" max="6" width="14.28515625" customWidth="1"/>
    <col min="7" max="7" width="15.42578125" style="14" customWidth="1"/>
    <col min="8" max="8" width="9.7109375" customWidth="1"/>
    <col min="9" max="9" width="9.7109375" style="1" customWidth="1"/>
    <col min="10" max="10" width="9.7109375" style="66" customWidth="1"/>
    <col min="11" max="12" width="11" style="1" customWidth="1"/>
    <col min="13" max="13" width="11.140625" style="1" customWidth="1"/>
    <col min="14" max="14" width="19.42578125" customWidth="1"/>
    <col min="15" max="15" width="14.7109375" customWidth="1"/>
    <col min="16" max="16" width="19.28515625" customWidth="1"/>
    <col min="17" max="17" width="17.85546875" customWidth="1"/>
    <col min="18" max="18" width="16.85546875" customWidth="1"/>
    <col min="19" max="20" width="14.85546875" bestFit="1" customWidth="1"/>
    <col min="21" max="21" width="12.7109375" customWidth="1"/>
  </cols>
  <sheetData>
    <row r="1" spans="1:30" s="4" customFormat="1" ht="60.75" customHeight="1">
      <c r="A1" s="194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6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70"/>
    </row>
    <row r="2" spans="1:30" ht="17.25" customHeight="1">
      <c r="A2" s="197" t="s">
        <v>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9"/>
    </row>
    <row r="3" spans="1:30">
      <c r="A3" s="200" t="s">
        <v>228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</row>
    <row r="4" spans="1:30">
      <c r="A4" s="167">
        <v>1</v>
      </c>
      <c r="B4" s="167" t="s">
        <v>24</v>
      </c>
      <c r="C4" s="177" t="s">
        <v>126</v>
      </c>
      <c r="D4" s="177"/>
      <c r="E4" s="175" t="s">
        <v>227</v>
      </c>
      <c r="F4" s="175"/>
      <c r="G4" s="175"/>
      <c r="H4" s="175"/>
      <c r="I4" s="175"/>
      <c r="J4" s="175"/>
      <c r="K4" s="175"/>
      <c r="L4" s="175" t="s">
        <v>51</v>
      </c>
      <c r="M4" s="175"/>
      <c r="N4" s="175"/>
      <c r="O4" s="175"/>
      <c r="P4" s="203"/>
      <c r="Q4" s="204"/>
    </row>
    <row r="5" spans="1:30">
      <c r="A5" s="167">
        <v>2</v>
      </c>
      <c r="B5" s="167" t="s">
        <v>25</v>
      </c>
      <c r="C5" s="177" t="s">
        <v>209</v>
      </c>
      <c r="D5" s="177"/>
      <c r="E5" s="175" t="s">
        <v>101</v>
      </c>
      <c r="F5" s="175"/>
      <c r="G5" s="175"/>
      <c r="H5" s="175"/>
      <c r="I5" s="175"/>
      <c r="J5" s="175"/>
      <c r="K5" s="175"/>
      <c r="L5" s="175" t="s">
        <v>245</v>
      </c>
      <c r="M5" s="175"/>
      <c r="N5" s="175"/>
      <c r="O5" s="175"/>
      <c r="P5" s="200"/>
      <c r="Q5" s="202"/>
    </row>
    <row r="6" spans="1:30">
      <c r="A6" s="167">
        <v>3</v>
      </c>
      <c r="B6" s="167" t="s">
        <v>46</v>
      </c>
      <c r="C6" s="177" t="s">
        <v>135</v>
      </c>
      <c r="D6" s="177"/>
      <c r="E6" s="175" t="s">
        <v>133</v>
      </c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200"/>
      <c r="Q6" s="202"/>
    </row>
    <row r="7" spans="1:30" s="19" customFormat="1" ht="15" customHeight="1">
      <c r="A7" s="167">
        <v>4</v>
      </c>
      <c r="B7" s="167" t="s">
        <v>26</v>
      </c>
      <c r="C7" s="209" t="s">
        <v>139</v>
      </c>
      <c r="D7" s="209"/>
      <c r="E7" s="175" t="s">
        <v>94</v>
      </c>
      <c r="F7" s="175"/>
      <c r="G7" s="175"/>
      <c r="H7" s="175"/>
      <c r="I7" s="175"/>
      <c r="J7" s="175"/>
      <c r="K7" s="175"/>
      <c r="L7" s="46" t="s">
        <v>16</v>
      </c>
      <c r="M7" s="52">
        <v>0.25</v>
      </c>
      <c r="N7" s="95">
        <v>0.16800000000000001</v>
      </c>
      <c r="O7" s="47"/>
      <c r="P7" s="205"/>
      <c r="Q7" s="206"/>
    </row>
    <row r="8" spans="1:30" ht="15" customHeight="1">
      <c r="A8" s="191" t="s">
        <v>11</v>
      </c>
      <c r="B8" s="191"/>
      <c r="C8" s="174" t="s">
        <v>0</v>
      </c>
      <c r="D8" s="191" t="s">
        <v>12</v>
      </c>
      <c r="E8" s="191" t="s">
        <v>1</v>
      </c>
      <c r="F8" s="191" t="s">
        <v>244</v>
      </c>
      <c r="G8" s="176" t="s">
        <v>243</v>
      </c>
      <c r="H8" s="174" t="s">
        <v>14</v>
      </c>
      <c r="I8" s="174"/>
      <c r="J8" s="174"/>
      <c r="K8" s="208" t="s">
        <v>15</v>
      </c>
      <c r="L8" s="208"/>
      <c r="M8" s="208"/>
      <c r="N8" s="192" t="s">
        <v>225</v>
      </c>
      <c r="O8" s="210" t="s">
        <v>6</v>
      </c>
      <c r="P8" s="207" t="s">
        <v>7</v>
      </c>
      <c r="Q8" s="207" t="s">
        <v>226</v>
      </c>
    </row>
    <row r="9" spans="1:30" ht="15.75">
      <c r="A9" s="191"/>
      <c r="B9" s="191"/>
      <c r="C9" s="174"/>
      <c r="D9" s="191"/>
      <c r="E9" s="191"/>
      <c r="F9" s="191"/>
      <c r="G9" s="176"/>
      <c r="H9" s="166" t="s">
        <v>3</v>
      </c>
      <c r="I9" s="168" t="s">
        <v>13</v>
      </c>
      <c r="J9" s="72" t="s">
        <v>17</v>
      </c>
      <c r="K9" s="168" t="s">
        <v>3</v>
      </c>
      <c r="L9" s="168" t="s">
        <v>13</v>
      </c>
      <c r="M9" s="168" t="s">
        <v>17</v>
      </c>
      <c r="N9" s="193"/>
      <c r="O9" s="210"/>
      <c r="P9" s="207"/>
      <c r="Q9" s="207"/>
    </row>
    <row r="10" spans="1:30" ht="15.75">
      <c r="A10" s="151"/>
      <c r="B10" s="151"/>
      <c r="C10" s="152">
        <v>2</v>
      </c>
      <c r="D10" s="156" t="s">
        <v>232</v>
      </c>
      <c r="E10" s="151"/>
      <c r="F10" s="151"/>
      <c r="G10" s="151"/>
      <c r="H10" s="151"/>
      <c r="I10" s="153"/>
      <c r="J10" s="153"/>
      <c r="K10" s="153"/>
      <c r="L10" s="153"/>
      <c r="M10" s="153"/>
      <c r="N10" s="154"/>
      <c r="O10" s="153"/>
      <c r="P10" s="155"/>
      <c r="Q10" s="155"/>
    </row>
    <row r="11" spans="1:30">
      <c r="A11" s="67">
        <v>1</v>
      </c>
      <c r="B11" s="49" t="s">
        <v>38</v>
      </c>
      <c r="C11" s="5" t="s">
        <v>2</v>
      </c>
      <c r="D11" s="5" t="s">
        <v>27</v>
      </c>
      <c r="E11" s="7" t="s">
        <v>44</v>
      </c>
      <c r="F11" s="16">
        <v>11.52</v>
      </c>
      <c r="G11" s="16">
        <v>11.52</v>
      </c>
      <c r="H11" s="8">
        <f>ROUND(J11*0.6,2)</f>
        <v>155.82</v>
      </c>
      <c r="I11" s="9">
        <f>ROUND(J11*0.4,2)</f>
        <v>103.88</v>
      </c>
      <c r="J11" s="71">
        <v>259.7</v>
      </c>
      <c r="K11" s="10">
        <f>ROUND((H11*M7)+H11,2)</f>
        <v>194.78</v>
      </c>
      <c r="L11" s="10">
        <f>ROUND((I11*M7)+I11,2)</f>
        <v>129.85</v>
      </c>
      <c r="M11" s="11">
        <f>ROUND(K11+L11,2)</f>
        <v>324.63</v>
      </c>
      <c r="N11" s="11">
        <f>ROUND(M11*F11,2)</f>
        <v>3739.74</v>
      </c>
      <c r="O11" s="28">
        <f>P11/$P$15</f>
        <v>0.2219028603131184</v>
      </c>
      <c r="P11" s="134">
        <f>ROUND(M11*G11,2)</f>
        <v>3739.74</v>
      </c>
      <c r="Q11" s="134"/>
    </row>
    <row r="12" spans="1:30">
      <c r="A12" s="67">
        <v>1</v>
      </c>
      <c r="B12" s="49" t="s">
        <v>37</v>
      </c>
      <c r="C12" s="5" t="s">
        <v>68</v>
      </c>
      <c r="D12" s="5" t="s">
        <v>28</v>
      </c>
      <c r="E12" s="7" t="s">
        <v>29</v>
      </c>
      <c r="F12" s="16">
        <v>2</v>
      </c>
      <c r="G12" s="16">
        <v>2</v>
      </c>
      <c r="H12" s="8">
        <f>ROUND(J12*0.6,2)</f>
        <v>264.05</v>
      </c>
      <c r="I12" s="9">
        <f>ROUND(J12*0.4,2)</f>
        <v>176.03</v>
      </c>
      <c r="J12" s="71">
        <v>440.08</v>
      </c>
      <c r="K12" s="10">
        <f>ROUND((H12*M7)+H12,2)</f>
        <v>330.06</v>
      </c>
      <c r="L12" s="10">
        <f>ROUND((I12*M7)+I12,2)</f>
        <v>220.04</v>
      </c>
      <c r="M12" s="11">
        <f t="shared" ref="M12:M14" si="0">ROUND(K12+L12,2)</f>
        <v>550.1</v>
      </c>
      <c r="N12" s="11">
        <f t="shared" ref="N12:N14" si="1">ROUND(M12*F12,2)</f>
        <v>1100.2</v>
      </c>
      <c r="O12" s="28">
        <f>P12/$P$15</f>
        <v>6.5281951931549481E-2</v>
      </c>
      <c r="P12" s="134">
        <f t="shared" ref="P12:P14" si="2">ROUND(M12*G12,2)</f>
        <v>1100.2</v>
      </c>
      <c r="Q12" s="134"/>
      <c r="T12" s="14"/>
    </row>
    <row r="13" spans="1:30">
      <c r="A13" s="67">
        <v>1</v>
      </c>
      <c r="B13" s="49" t="s">
        <v>52</v>
      </c>
      <c r="C13" s="5" t="s">
        <v>47</v>
      </c>
      <c r="D13" s="5" t="s">
        <v>146</v>
      </c>
      <c r="E13" s="7" t="s">
        <v>44</v>
      </c>
      <c r="F13" s="16">
        <f>(157.88)*2.2</f>
        <v>347.33600000000001</v>
      </c>
      <c r="G13" s="16">
        <f>(157.88)*2.2</f>
        <v>347.33600000000001</v>
      </c>
      <c r="H13" s="8">
        <f>ROUND(J13*0.6,2)</f>
        <v>15.81</v>
      </c>
      <c r="I13" s="9">
        <f>ROUND(J13*0.4,2)</f>
        <v>10.54</v>
      </c>
      <c r="J13" s="71">
        <v>26.35</v>
      </c>
      <c r="K13" s="10">
        <f>ROUND((H13*M7)+H13,2)</f>
        <v>19.760000000000002</v>
      </c>
      <c r="L13" s="10">
        <f>ROUND((I13*M7)+I13,2)</f>
        <v>13.18</v>
      </c>
      <c r="M13" s="11">
        <f t="shared" si="0"/>
        <v>32.94</v>
      </c>
      <c r="N13" s="11">
        <f t="shared" si="1"/>
        <v>11441.25</v>
      </c>
      <c r="O13" s="28">
        <f>P13/$P$15</f>
        <v>0.67888305084242917</v>
      </c>
      <c r="P13" s="134">
        <f t="shared" si="2"/>
        <v>11441.25</v>
      </c>
      <c r="Q13" s="134"/>
      <c r="T13" s="14"/>
    </row>
    <row r="14" spans="1:30">
      <c r="A14" s="67">
        <v>1</v>
      </c>
      <c r="B14" s="49">
        <v>78472</v>
      </c>
      <c r="C14" s="5" t="s">
        <v>69</v>
      </c>
      <c r="D14" s="5" t="s">
        <v>45</v>
      </c>
      <c r="E14" s="7" t="s">
        <v>31</v>
      </c>
      <c r="F14" s="16">
        <v>1059</v>
      </c>
      <c r="G14" s="16">
        <v>1059</v>
      </c>
      <c r="H14" s="8">
        <f>ROUND(J14*0.6,2)</f>
        <v>0.26</v>
      </c>
      <c r="I14" s="9">
        <f>ROUND(J14*0.4,2)</f>
        <v>0.17</v>
      </c>
      <c r="J14" s="71">
        <v>0.43</v>
      </c>
      <c r="K14" s="10">
        <f>ROUND((H14*M7)+H14,2)</f>
        <v>0.33</v>
      </c>
      <c r="L14" s="10">
        <f>ROUND((I14*M7)+I14,2)</f>
        <v>0.21</v>
      </c>
      <c r="M14" s="11">
        <f t="shared" si="0"/>
        <v>0.54</v>
      </c>
      <c r="N14" s="11">
        <f t="shared" si="1"/>
        <v>571.86</v>
      </c>
      <c r="O14" s="28">
        <f>P14/$P$15</f>
        <v>3.3932136912903005E-2</v>
      </c>
      <c r="P14" s="134">
        <f t="shared" si="2"/>
        <v>571.86</v>
      </c>
      <c r="Q14" s="134"/>
      <c r="T14" s="14"/>
    </row>
    <row r="15" spans="1:30" s="55" customFormat="1">
      <c r="A15" s="53"/>
      <c r="B15" s="53"/>
      <c r="C15" s="54"/>
      <c r="D15" s="188" t="s">
        <v>10</v>
      </c>
      <c r="E15" s="188"/>
      <c r="F15" s="188"/>
      <c r="G15" s="188"/>
      <c r="H15" s="188"/>
      <c r="I15" s="188"/>
      <c r="J15" s="188"/>
      <c r="K15" s="188"/>
      <c r="L15" s="188"/>
      <c r="M15" s="190">
        <f>SUM(N11:N14)</f>
        <v>16853.05</v>
      </c>
      <c r="N15" s="190"/>
      <c r="O15" s="137">
        <f>P15/P96</f>
        <v>7.3471679809686552E-2</v>
      </c>
      <c r="P15" s="132">
        <f>SUM(P11:P14)</f>
        <v>16853.05</v>
      </c>
      <c r="Q15" s="134"/>
      <c r="R15" s="36"/>
      <c r="S15" s="137">
        <f>O15</f>
        <v>7.3471679809686552E-2</v>
      </c>
      <c r="T15" s="138">
        <f>P15</f>
        <v>16853.05</v>
      </c>
      <c r="U15" s="31"/>
      <c r="V15" s="31"/>
      <c r="W15" s="31"/>
      <c r="X15" s="31"/>
    </row>
    <row r="16" spans="1:30" s="55" customFormat="1" ht="15.75">
      <c r="A16" s="53"/>
      <c r="B16" s="53"/>
      <c r="C16" s="152">
        <v>3</v>
      </c>
      <c r="D16" s="156" t="s">
        <v>233</v>
      </c>
      <c r="E16" s="163"/>
      <c r="F16" s="163"/>
      <c r="G16" s="163"/>
      <c r="H16" s="163"/>
      <c r="I16" s="163"/>
      <c r="J16" s="163"/>
      <c r="K16" s="163"/>
      <c r="L16" s="163"/>
      <c r="M16" s="165"/>
      <c r="N16" s="165"/>
      <c r="O16" s="137"/>
      <c r="P16" s="132"/>
      <c r="Q16" s="134"/>
      <c r="R16" s="36"/>
      <c r="S16" s="157"/>
      <c r="T16" s="138"/>
      <c r="U16" s="31"/>
      <c r="V16" s="31"/>
      <c r="W16" s="31"/>
      <c r="X16" s="31"/>
    </row>
    <row r="17" spans="1:20" s="14" customFormat="1">
      <c r="A17" s="108">
        <v>1</v>
      </c>
      <c r="B17" s="109" t="s">
        <v>54</v>
      </c>
      <c r="C17" s="110" t="s">
        <v>70</v>
      </c>
      <c r="D17" s="110" t="s">
        <v>53</v>
      </c>
      <c r="E17" s="111" t="s">
        <v>43</v>
      </c>
      <c r="F17" s="112">
        <f>(1059*0.35)</f>
        <v>370.65</v>
      </c>
      <c r="G17" s="112">
        <f>(1059*0.3)</f>
        <v>317.7</v>
      </c>
      <c r="H17" s="113">
        <f>ROUND(J17*0.6,2)</f>
        <v>1.79</v>
      </c>
      <c r="I17" s="114">
        <f>ROUND(J17*0.4,2)</f>
        <v>1.2</v>
      </c>
      <c r="J17" s="114">
        <v>2.99</v>
      </c>
      <c r="K17" s="115">
        <f t="shared" ref="K17:L19" si="3">ROUND((H17*$M$7)+H17,2)</f>
        <v>2.2400000000000002</v>
      </c>
      <c r="L17" s="115">
        <f t="shared" si="3"/>
        <v>1.5</v>
      </c>
      <c r="M17" s="116">
        <f>ROUND(K17+L17,2)</f>
        <v>3.74</v>
      </c>
      <c r="N17" s="116">
        <f>M17*F17</f>
        <v>1386.231</v>
      </c>
      <c r="O17" s="117">
        <f>P17/$P$21</f>
        <v>0.23080180414674042</v>
      </c>
      <c r="P17" s="130">
        <f>ROUND(M17*G17,2)</f>
        <v>1188.2</v>
      </c>
      <c r="Q17" s="130">
        <f>(P17-N17)</f>
        <v>-198.03099999999995</v>
      </c>
    </row>
    <row r="18" spans="1:20" s="14" customFormat="1">
      <c r="A18" s="17">
        <v>1</v>
      </c>
      <c r="B18" s="49" t="s">
        <v>66</v>
      </c>
      <c r="C18" s="26" t="s">
        <v>71</v>
      </c>
      <c r="D18" s="26" t="s">
        <v>65</v>
      </c>
      <c r="E18" s="7" t="s">
        <v>44</v>
      </c>
      <c r="F18" s="16">
        <f>F14</f>
        <v>1059</v>
      </c>
      <c r="G18" s="16">
        <f>G14</f>
        <v>1059</v>
      </c>
      <c r="H18" s="8">
        <f>ROUND(J18*0.6,2)</f>
        <v>0.28999999999999998</v>
      </c>
      <c r="I18" s="9">
        <f>ROUND(J18*0.4,2)</f>
        <v>0.19</v>
      </c>
      <c r="J18" s="71">
        <v>0.48</v>
      </c>
      <c r="K18" s="10">
        <f>ROUND((H18*$M$7)+H18,2)</f>
        <v>0.36</v>
      </c>
      <c r="L18" s="10">
        <f>ROUND((I18*$M$7)+I18,2)</f>
        <v>0.24</v>
      </c>
      <c r="M18" s="103">
        <f t="shared" ref="M18:M20" si="4">ROUND(K18+L18,2)</f>
        <v>0.6</v>
      </c>
      <c r="N18" s="11">
        <f>ROUND(M18*F18,2)</f>
        <v>635.4</v>
      </c>
      <c r="O18" s="28">
        <f>P18/$P$21</f>
        <v>0.12342321692883255</v>
      </c>
      <c r="P18" s="136">
        <f t="shared" ref="P18:P20" si="5">ROUND(M18*G18,2)</f>
        <v>635.4</v>
      </c>
      <c r="Q18" s="134"/>
    </row>
    <row r="19" spans="1:20" s="14" customFormat="1">
      <c r="A19" s="108">
        <v>1</v>
      </c>
      <c r="B19" s="109">
        <v>72838</v>
      </c>
      <c r="C19" s="110" t="s">
        <v>72</v>
      </c>
      <c r="D19" s="110" t="s">
        <v>67</v>
      </c>
      <c r="E19" s="111" t="s">
        <v>49</v>
      </c>
      <c r="F19" s="112">
        <f>(1059*0.35)*6.7</f>
        <v>2483.355</v>
      </c>
      <c r="G19" s="112">
        <f>(1059*0.3)*6.7</f>
        <v>2128.59</v>
      </c>
      <c r="H19" s="113">
        <f>ROUND(J19*0.6,2)</f>
        <v>0.41</v>
      </c>
      <c r="I19" s="114">
        <f>ROUND(J19*0.4,2)</f>
        <v>0.27</v>
      </c>
      <c r="J19" s="114">
        <v>0.68</v>
      </c>
      <c r="K19" s="115">
        <f t="shared" si="3"/>
        <v>0.51</v>
      </c>
      <c r="L19" s="115">
        <f t="shared" si="3"/>
        <v>0.34</v>
      </c>
      <c r="M19" s="116">
        <f t="shared" si="4"/>
        <v>0.85</v>
      </c>
      <c r="N19" s="116">
        <f>M19*F19</f>
        <v>2110.8517499999998</v>
      </c>
      <c r="O19" s="117">
        <f>P19/$P$21</f>
        <v>0.35144731883748309</v>
      </c>
      <c r="P19" s="130">
        <f t="shared" si="5"/>
        <v>1809.3</v>
      </c>
      <c r="Q19" s="130">
        <f>(P19-N19)</f>
        <v>-301.55174999999986</v>
      </c>
    </row>
    <row r="20" spans="1:20" s="14" customFormat="1">
      <c r="A20" s="17">
        <v>1</v>
      </c>
      <c r="B20" s="49" t="s">
        <v>78</v>
      </c>
      <c r="C20" s="26" t="s">
        <v>73</v>
      </c>
      <c r="D20" s="26" t="s">
        <v>84</v>
      </c>
      <c r="E20" s="15" t="s">
        <v>44</v>
      </c>
      <c r="F20" s="16">
        <f>(1059-510)</f>
        <v>549</v>
      </c>
      <c r="G20" s="16">
        <f>(1059-510)</f>
        <v>549</v>
      </c>
      <c r="H20" s="33">
        <f>ROUND(J20*0.6,2)</f>
        <v>1.33</v>
      </c>
      <c r="I20" s="34">
        <f>ROUND(J20*0.4,2)</f>
        <v>0.88</v>
      </c>
      <c r="J20" s="71">
        <v>2.21</v>
      </c>
      <c r="K20" s="35">
        <f>ROUND((H20*$M$7)+H20,2)</f>
        <v>1.66</v>
      </c>
      <c r="L20" s="35">
        <f>ROUND((I20*$M$7)+I20,2)</f>
        <v>1.1000000000000001</v>
      </c>
      <c r="M20" s="103">
        <f t="shared" si="4"/>
        <v>2.76</v>
      </c>
      <c r="N20" s="33">
        <f>ROUND(M20*F20,2)</f>
        <v>1515.24</v>
      </c>
      <c r="O20" s="28">
        <f>P20/$P$21</f>
        <v>0.29432766008694405</v>
      </c>
      <c r="P20" s="136">
        <f t="shared" si="5"/>
        <v>1515.24</v>
      </c>
      <c r="Q20" s="134"/>
    </row>
    <row r="21" spans="1:20" s="31" customFormat="1">
      <c r="A21" s="53"/>
      <c r="B21" s="53"/>
      <c r="C21" s="54"/>
      <c r="D21" s="188" t="s">
        <v>10</v>
      </c>
      <c r="E21" s="189"/>
      <c r="F21" s="189"/>
      <c r="G21" s="189"/>
      <c r="H21" s="189"/>
      <c r="I21" s="189"/>
      <c r="J21" s="189"/>
      <c r="K21" s="189"/>
      <c r="L21" s="189"/>
      <c r="M21" s="190">
        <f>SUM(N17:N20)</f>
        <v>5647.722749999999</v>
      </c>
      <c r="N21" s="190"/>
      <c r="O21" s="137">
        <f>P21/P96</f>
        <v>2.2443563253858483E-2</v>
      </c>
      <c r="P21" s="132">
        <f>SUM(P17:P20)</f>
        <v>5148.1399999999994</v>
      </c>
      <c r="Q21" s="127"/>
      <c r="R21" s="36"/>
      <c r="S21" s="32">
        <f>O21</f>
        <v>2.2443563253858483E-2</v>
      </c>
      <c r="T21" s="138">
        <f>P21</f>
        <v>5148.1399999999994</v>
      </c>
    </row>
    <row r="22" spans="1:20" s="31" customFormat="1" ht="15.75">
      <c r="A22" s="53"/>
      <c r="B22" s="53"/>
      <c r="C22" s="152">
        <v>4</v>
      </c>
      <c r="D22" s="156" t="s">
        <v>234</v>
      </c>
      <c r="E22" s="164"/>
      <c r="F22" s="164"/>
      <c r="G22" s="164"/>
      <c r="H22" s="164"/>
      <c r="I22" s="164"/>
      <c r="J22" s="164"/>
      <c r="K22" s="164"/>
      <c r="L22" s="164"/>
      <c r="M22" s="165"/>
      <c r="N22" s="165"/>
      <c r="O22" s="137"/>
      <c r="P22" s="132"/>
      <c r="Q22" s="127"/>
      <c r="R22" s="36"/>
      <c r="S22" s="32"/>
      <c r="T22" s="138"/>
    </row>
    <row r="23" spans="1:20">
      <c r="A23" s="18">
        <v>1</v>
      </c>
      <c r="B23" s="48" t="s">
        <v>136</v>
      </c>
      <c r="C23" s="26" t="s">
        <v>106</v>
      </c>
      <c r="D23" s="26" t="s">
        <v>145</v>
      </c>
      <c r="E23" s="7" t="s">
        <v>43</v>
      </c>
      <c r="F23" s="16">
        <f>529.52*0.05</f>
        <v>26.475999999999999</v>
      </c>
      <c r="G23" s="16">
        <f>529.52*0.05</f>
        <v>26.475999999999999</v>
      </c>
      <c r="H23" s="8">
        <f t="shared" ref="H23:H28" si="6">ROUND(J23*0.6,2)</f>
        <v>36.54</v>
      </c>
      <c r="I23" s="9">
        <f t="shared" ref="I23:I28" si="7">ROUND(J23*0.4,2)</f>
        <v>24.36</v>
      </c>
      <c r="J23" s="71">
        <v>60.9</v>
      </c>
      <c r="K23" s="10">
        <f t="shared" ref="K23:L28" si="8">ROUND((H23*$M$7)+H23,2)</f>
        <v>45.68</v>
      </c>
      <c r="L23" s="10">
        <f t="shared" si="8"/>
        <v>30.45</v>
      </c>
      <c r="M23" s="8">
        <f>ROUND(K23+L23,2)</f>
        <v>76.13</v>
      </c>
      <c r="N23" s="8">
        <f>ROUND(M23*F23,2)</f>
        <v>2015.62</v>
      </c>
      <c r="O23" s="28">
        <f>P23/$P$29</f>
        <v>0.10079556495913659</v>
      </c>
      <c r="P23" s="142">
        <f>ROUND(N23,2)</f>
        <v>2015.62</v>
      </c>
      <c r="Q23" s="134"/>
      <c r="R23" s="32"/>
    </row>
    <row r="24" spans="1:20">
      <c r="A24" s="18">
        <v>1</v>
      </c>
      <c r="B24" s="49">
        <v>83356</v>
      </c>
      <c r="C24" s="5" t="s">
        <v>107</v>
      </c>
      <c r="D24" s="26" t="s">
        <v>50</v>
      </c>
      <c r="E24" s="15" t="s">
        <v>30</v>
      </c>
      <c r="F24" s="16">
        <f>(F23*28.6*1.65)</f>
        <v>1249.4024400000001</v>
      </c>
      <c r="G24" s="16">
        <f>(G23*28.6*1.65)</f>
        <v>1249.4024400000001</v>
      </c>
      <c r="H24" s="33">
        <f t="shared" si="6"/>
        <v>0.35</v>
      </c>
      <c r="I24" s="34">
        <f t="shared" si="7"/>
        <v>0.24</v>
      </c>
      <c r="J24" s="71">
        <v>0.59</v>
      </c>
      <c r="K24" s="10">
        <f t="shared" si="8"/>
        <v>0.44</v>
      </c>
      <c r="L24" s="10">
        <f t="shared" si="8"/>
        <v>0.3</v>
      </c>
      <c r="M24" s="8">
        <f t="shared" ref="M24:M28" si="9">ROUND(K24+L24,2)</f>
        <v>0.74</v>
      </c>
      <c r="N24" s="8">
        <f t="shared" ref="N24:N28" si="10">ROUND(M24*F24,2)</f>
        <v>924.56</v>
      </c>
      <c r="O24" s="28">
        <f t="shared" ref="O24:O28" si="11">P24/$P$29</f>
        <v>4.6234680911391692E-2</v>
      </c>
      <c r="P24" s="142">
        <f t="shared" ref="P24:P28" si="12">ROUND(N24,2)</f>
        <v>924.56</v>
      </c>
      <c r="Q24" s="134"/>
      <c r="R24" s="32"/>
    </row>
    <row r="25" spans="1:20">
      <c r="A25" s="18">
        <v>1</v>
      </c>
      <c r="B25" s="48" t="s">
        <v>41</v>
      </c>
      <c r="C25" s="26" t="s">
        <v>108</v>
      </c>
      <c r="D25" s="26" t="s">
        <v>48</v>
      </c>
      <c r="E25" s="7" t="s">
        <v>44</v>
      </c>
      <c r="F25" s="16">
        <f>(529.52)</f>
        <v>529.52</v>
      </c>
      <c r="G25" s="16">
        <f>(529.52)</f>
        <v>529.52</v>
      </c>
      <c r="H25" s="8">
        <f t="shared" si="6"/>
        <v>12.95</v>
      </c>
      <c r="I25" s="9">
        <f t="shared" si="7"/>
        <v>8.6300000000000008</v>
      </c>
      <c r="J25" s="71">
        <v>21.58</v>
      </c>
      <c r="K25" s="10">
        <f t="shared" si="8"/>
        <v>16.190000000000001</v>
      </c>
      <c r="L25" s="10">
        <f t="shared" si="8"/>
        <v>10.79</v>
      </c>
      <c r="M25" s="8">
        <f t="shared" si="9"/>
        <v>26.98</v>
      </c>
      <c r="N25" s="8">
        <f t="shared" si="10"/>
        <v>14286.45</v>
      </c>
      <c r="O25" s="28">
        <f t="shared" si="11"/>
        <v>0.714425734518638</v>
      </c>
      <c r="P25" s="142">
        <f t="shared" si="12"/>
        <v>14286.45</v>
      </c>
      <c r="Q25" s="134"/>
      <c r="R25" s="32"/>
    </row>
    <row r="26" spans="1:20">
      <c r="A26" s="18">
        <v>1</v>
      </c>
      <c r="B26" s="27">
        <v>73629</v>
      </c>
      <c r="C26" s="5" t="s">
        <v>109</v>
      </c>
      <c r="D26" s="5" t="s">
        <v>95</v>
      </c>
      <c r="E26" s="7" t="s">
        <v>44</v>
      </c>
      <c r="F26" s="16">
        <f>(3.17+11.5+11.5)*0.2</f>
        <v>5.2340000000000009</v>
      </c>
      <c r="G26" s="16">
        <f>(3.17+11.5+11.5)*0.2</f>
        <v>5.2340000000000009</v>
      </c>
      <c r="H26" s="8">
        <f t="shared" si="6"/>
        <v>32.950000000000003</v>
      </c>
      <c r="I26" s="9">
        <f t="shared" si="7"/>
        <v>21.96</v>
      </c>
      <c r="J26" s="71">
        <v>54.91</v>
      </c>
      <c r="K26" s="10">
        <f t="shared" si="8"/>
        <v>41.19</v>
      </c>
      <c r="L26" s="10">
        <f t="shared" si="8"/>
        <v>27.45</v>
      </c>
      <c r="M26" s="8">
        <f t="shared" si="9"/>
        <v>68.64</v>
      </c>
      <c r="N26" s="8">
        <f t="shared" si="10"/>
        <v>359.26</v>
      </c>
      <c r="O26" s="28">
        <f t="shared" si="11"/>
        <v>1.7965596028626137E-2</v>
      </c>
      <c r="P26" s="142">
        <f t="shared" si="12"/>
        <v>359.26</v>
      </c>
      <c r="Q26" s="134"/>
      <c r="R26" s="32"/>
    </row>
    <row r="27" spans="1:20">
      <c r="A27" s="18">
        <v>1</v>
      </c>
      <c r="B27" s="27">
        <v>73629</v>
      </c>
      <c r="C27" s="5" t="s">
        <v>110</v>
      </c>
      <c r="D27" s="5" t="s">
        <v>96</v>
      </c>
      <c r="E27" s="7" t="s">
        <v>44</v>
      </c>
      <c r="F27" s="16">
        <f>(133.66*0.2)</f>
        <v>26.731999999999999</v>
      </c>
      <c r="G27" s="16">
        <f>(133.66*0.2)</f>
        <v>26.731999999999999</v>
      </c>
      <c r="H27" s="8">
        <f t="shared" si="6"/>
        <v>32.950000000000003</v>
      </c>
      <c r="I27" s="9">
        <f t="shared" si="7"/>
        <v>21.96</v>
      </c>
      <c r="J27" s="71">
        <v>54.91</v>
      </c>
      <c r="K27" s="10">
        <f t="shared" si="8"/>
        <v>41.19</v>
      </c>
      <c r="L27" s="10">
        <f t="shared" si="8"/>
        <v>27.45</v>
      </c>
      <c r="M27" s="8">
        <f t="shared" si="9"/>
        <v>68.64</v>
      </c>
      <c r="N27" s="8">
        <f t="shared" si="10"/>
        <v>1834.88</v>
      </c>
      <c r="O27" s="28">
        <f t="shared" si="11"/>
        <v>9.1757258923914509E-2</v>
      </c>
      <c r="P27" s="142">
        <f t="shared" si="12"/>
        <v>1834.88</v>
      </c>
      <c r="Q27" s="134"/>
      <c r="R27" s="32"/>
    </row>
    <row r="28" spans="1:20">
      <c r="A28" s="18">
        <v>1</v>
      </c>
      <c r="B28" s="48" t="s">
        <v>86</v>
      </c>
      <c r="C28" s="5" t="s">
        <v>111</v>
      </c>
      <c r="D28" s="5" t="s">
        <v>85</v>
      </c>
      <c r="E28" s="15" t="s">
        <v>32</v>
      </c>
      <c r="F28" s="16">
        <v>11.7</v>
      </c>
      <c r="G28" s="16">
        <v>11.7</v>
      </c>
      <c r="H28" s="8">
        <f t="shared" si="6"/>
        <v>23.65</v>
      </c>
      <c r="I28" s="9">
        <f t="shared" si="7"/>
        <v>15.76</v>
      </c>
      <c r="J28" s="71">
        <v>39.409999999999997</v>
      </c>
      <c r="K28" s="10">
        <f t="shared" si="8"/>
        <v>29.56</v>
      </c>
      <c r="L28" s="10">
        <f t="shared" si="8"/>
        <v>19.7</v>
      </c>
      <c r="M28" s="8">
        <f t="shared" si="9"/>
        <v>49.26</v>
      </c>
      <c r="N28" s="8">
        <f t="shared" si="10"/>
        <v>576.34</v>
      </c>
      <c r="O28" s="28">
        <f t="shared" si="11"/>
        <v>2.8821164658293125E-2</v>
      </c>
      <c r="P28" s="142">
        <f t="shared" si="12"/>
        <v>576.34</v>
      </c>
      <c r="Q28" s="134"/>
      <c r="R28" s="32"/>
    </row>
    <row r="29" spans="1:20">
      <c r="A29" s="56"/>
      <c r="B29" s="56"/>
      <c r="C29" s="54"/>
      <c r="D29" s="188" t="s">
        <v>10</v>
      </c>
      <c r="E29" s="189"/>
      <c r="F29" s="189"/>
      <c r="G29" s="189"/>
      <c r="H29" s="189"/>
      <c r="I29" s="189"/>
      <c r="J29" s="189"/>
      <c r="K29" s="189"/>
      <c r="L29" s="189"/>
      <c r="M29" s="190">
        <f>SUM(N23:N28)</f>
        <v>19997.11</v>
      </c>
      <c r="N29" s="190"/>
      <c r="O29" s="137">
        <f>P29/P96</f>
        <v>8.7178360180446932E-2</v>
      </c>
      <c r="P29" s="132">
        <f>SUM(P23:P28)</f>
        <v>19997.11</v>
      </c>
      <c r="Q29" s="133"/>
      <c r="R29" s="36"/>
      <c r="S29" s="140">
        <f>O29</f>
        <v>8.7178360180446932E-2</v>
      </c>
      <c r="T29" s="138">
        <f>P29</f>
        <v>19997.11</v>
      </c>
    </row>
    <row r="30" spans="1:20" ht="15.75">
      <c r="A30" s="56"/>
      <c r="B30" s="56"/>
      <c r="C30" s="152">
        <v>5</v>
      </c>
      <c r="D30" s="156" t="s">
        <v>235</v>
      </c>
      <c r="E30" s="164"/>
      <c r="F30" s="164"/>
      <c r="G30" s="164"/>
      <c r="H30" s="164"/>
      <c r="I30" s="164"/>
      <c r="J30" s="164"/>
      <c r="K30" s="164"/>
      <c r="L30" s="164"/>
      <c r="M30" s="165"/>
      <c r="N30" s="165"/>
      <c r="O30" s="137"/>
      <c r="P30" s="132"/>
      <c r="Q30" s="133"/>
      <c r="R30" s="36"/>
      <c r="S30" s="140"/>
      <c r="T30" s="138"/>
    </row>
    <row r="31" spans="1:20" s="14" customFormat="1">
      <c r="A31" s="108">
        <v>1</v>
      </c>
      <c r="B31" s="109" t="s">
        <v>77</v>
      </c>
      <c r="C31" s="110" t="s">
        <v>112</v>
      </c>
      <c r="D31" s="110" t="s">
        <v>76</v>
      </c>
      <c r="E31" s="111" t="s">
        <v>43</v>
      </c>
      <c r="F31" s="112">
        <f>(510*0.35)</f>
        <v>178.5</v>
      </c>
      <c r="G31" s="112">
        <f>(510*0.3)</f>
        <v>153</v>
      </c>
      <c r="H31" s="113">
        <f t="shared" ref="H31:H37" si="13">ROUND(J31*0.6,2)</f>
        <v>2.66</v>
      </c>
      <c r="I31" s="114">
        <f t="shared" ref="I31:I40" si="14">ROUND(J31*0.4,2)</f>
        <v>1.77</v>
      </c>
      <c r="J31" s="114">
        <v>4.43</v>
      </c>
      <c r="K31" s="115">
        <f t="shared" ref="K31:K39" si="15">ROUND((H31*$M$7)+H31,2)</f>
        <v>3.33</v>
      </c>
      <c r="L31" s="115">
        <f t="shared" ref="L31:L37" si="16">ROUND((I31*$M$7)+I31,2)</f>
        <v>2.21</v>
      </c>
      <c r="M31" s="113">
        <f>ROUND(K31+L31,2)</f>
        <v>5.54</v>
      </c>
      <c r="N31" s="113">
        <f t="shared" ref="N31:N32" si="17">M31*F31</f>
        <v>988.89</v>
      </c>
      <c r="O31" s="117">
        <f>P31/$P$46</f>
        <v>8.4931310567616537E-3</v>
      </c>
      <c r="P31" s="143">
        <f>ROUND(M31*G31,2)</f>
        <v>847.62</v>
      </c>
      <c r="Q31" s="130">
        <f>(P31-N31)</f>
        <v>-141.26999999999998</v>
      </c>
    </row>
    <row r="32" spans="1:20">
      <c r="A32" s="27">
        <v>1</v>
      </c>
      <c r="B32" s="109" t="s">
        <v>78</v>
      </c>
      <c r="C32" s="110" t="s">
        <v>113</v>
      </c>
      <c r="D32" s="110" t="s">
        <v>79</v>
      </c>
      <c r="E32" s="146" t="s">
        <v>44</v>
      </c>
      <c r="F32" s="147">
        <v>510</v>
      </c>
      <c r="G32" s="147">
        <v>510</v>
      </c>
      <c r="H32" s="114">
        <f t="shared" si="13"/>
        <v>0.12</v>
      </c>
      <c r="I32" s="114">
        <f t="shared" si="14"/>
        <v>0.08</v>
      </c>
      <c r="J32" s="114">
        <v>0.2</v>
      </c>
      <c r="K32" s="115">
        <f t="shared" si="15"/>
        <v>0.15</v>
      </c>
      <c r="L32" s="115">
        <f t="shared" si="16"/>
        <v>0.1</v>
      </c>
      <c r="M32" s="113">
        <f t="shared" ref="M32:M45" si="18">ROUND(K32+L32,2)</f>
        <v>0.25</v>
      </c>
      <c r="N32" s="114">
        <f t="shared" si="17"/>
        <v>127.5</v>
      </c>
      <c r="O32" s="117">
        <f>P32/$P$46</f>
        <v>1.2775467895249177E-3</v>
      </c>
      <c r="P32" s="143">
        <f t="shared" ref="P32:P45" si="19">ROUND(M32*G32,2)</f>
        <v>127.5</v>
      </c>
      <c r="Q32" s="148">
        <f>(P32-N32)</f>
        <v>0</v>
      </c>
    </row>
    <row r="33" spans="1:20">
      <c r="A33" s="27">
        <v>1</v>
      </c>
      <c r="B33" s="48" t="s">
        <v>136</v>
      </c>
      <c r="C33" s="5" t="s">
        <v>33</v>
      </c>
      <c r="D33" s="26" t="s">
        <v>144</v>
      </c>
      <c r="E33" s="7" t="s">
        <v>43</v>
      </c>
      <c r="F33" s="16">
        <f>(510*0.1)</f>
        <v>51</v>
      </c>
      <c r="G33" s="16">
        <f>(510*0.1)</f>
        <v>51</v>
      </c>
      <c r="H33" s="33">
        <f t="shared" si="13"/>
        <v>36.54</v>
      </c>
      <c r="I33" s="34">
        <f t="shared" si="14"/>
        <v>24.36</v>
      </c>
      <c r="J33" s="71">
        <v>60.9</v>
      </c>
      <c r="K33" s="35">
        <f t="shared" si="15"/>
        <v>45.68</v>
      </c>
      <c r="L33" s="35">
        <f t="shared" si="16"/>
        <v>30.45</v>
      </c>
      <c r="M33" s="33">
        <f t="shared" si="18"/>
        <v>76.13</v>
      </c>
      <c r="N33" s="33">
        <f>ROUND(M33*F33,2)</f>
        <v>3882.63</v>
      </c>
      <c r="O33" s="28">
        <f>P33/$P$46</f>
        <v>3.8903854834612797E-2</v>
      </c>
      <c r="P33" s="135">
        <f t="shared" si="19"/>
        <v>3882.63</v>
      </c>
      <c r="Q33" s="134"/>
    </row>
    <row r="34" spans="1:20" s="14" customFormat="1">
      <c r="A34" s="119"/>
      <c r="B34" s="120">
        <v>83667</v>
      </c>
      <c r="C34" s="121" t="s">
        <v>34</v>
      </c>
      <c r="D34" s="121" t="s">
        <v>213</v>
      </c>
      <c r="E34" s="122" t="s">
        <v>43</v>
      </c>
      <c r="F34" s="106">
        <v>0</v>
      </c>
      <c r="G34" s="106">
        <v>40.799999999999997</v>
      </c>
      <c r="H34" s="123">
        <f t="shared" ref="H34" si="20">ROUND(J34*0.6,2)</f>
        <v>46.18</v>
      </c>
      <c r="I34" s="124">
        <f t="shared" ref="I34" si="21">ROUND(J34*0.4,2)</f>
        <v>30.78</v>
      </c>
      <c r="J34" s="124">
        <v>76.959999999999994</v>
      </c>
      <c r="K34" s="125">
        <f t="shared" ref="K34" si="22">ROUND((H34*$M$7)+H34,2)</f>
        <v>57.73</v>
      </c>
      <c r="L34" s="125">
        <f t="shared" ref="L34" si="23">ROUND((I34*$M$7)+I34,2)</f>
        <v>38.479999999999997</v>
      </c>
      <c r="M34" s="123">
        <f t="shared" si="18"/>
        <v>96.21</v>
      </c>
      <c r="N34" s="123">
        <v>0</v>
      </c>
      <c r="O34" s="126">
        <f>P34/$P$46</f>
        <v>3.933210855841119E-2</v>
      </c>
      <c r="P34" s="144">
        <f t="shared" si="19"/>
        <v>3925.37</v>
      </c>
      <c r="Q34" s="129">
        <f>(P34-N34)</f>
        <v>3925.37</v>
      </c>
    </row>
    <row r="35" spans="1:20">
      <c r="A35" s="27">
        <v>1</v>
      </c>
      <c r="B35" s="48">
        <v>83356</v>
      </c>
      <c r="C35" s="5" t="s">
        <v>35</v>
      </c>
      <c r="D35" s="26" t="s">
        <v>50</v>
      </c>
      <c r="E35" s="7" t="s">
        <v>80</v>
      </c>
      <c r="F35" s="16">
        <f>(F33*28.6*1.65)</f>
        <v>2406.69</v>
      </c>
      <c r="G35" s="16">
        <f>(G33*28.6*1.65)</f>
        <v>2406.69</v>
      </c>
      <c r="H35" s="33">
        <f t="shared" si="13"/>
        <v>0.35</v>
      </c>
      <c r="I35" s="34">
        <f t="shared" si="14"/>
        <v>0.24</v>
      </c>
      <c r="J35" s="71">
        <v>0.59</v>
      </c>
      <c r="K35" s="35">
        <f t="shared" si="15"/>
        <v>0.44</v>
      </c>
      <c r="L35" s="35">
        <f t="shared" si="16"/>
        <v>0.3</v>
      </c>
      <c r="M35" s="33">
        <f t="shared" si="18"/>
        <v>0.74</v>
      </c>
      <c r="N35" s="33">
        <f>ROUND(M35*F35,2)</f>
        <v>1780.95</v>
      </c>
      <c r="O35" s="28">
        <f>P35/$P$46</f>
        <v>1.7845074155328648E-2</v>
      </c>
      <c r="P35" s="135">
        <f t="shared" si="19"/>
        <v>1780.95</v>
      </c>
      <c r="Q35" s="134"/>
    </row>
    <row r="36" spans="1:20">
      <c r="A36" s="27">
        <v>1</v>
      </c>
      <c r="B36" s="48">
        <v>68053</v>
      </c>
      <c r="C36" s="5" t="s">
        <v>42</v>
      </c>
      <c r="D36" s="68" t="s">
        <v>81</v>
      </c>
      <c r="E36" s="7" t="s">
        <v>44</v>
      </c>
      <c r="F36" s="16">
        <f>(F32)</f>
        <v>510</v>
      </c>
      <c r="G36" s="16">
        <f>(G32)</f>
        <v>510</v>
      </c>
      <c r="H36" s="33">
        <f t="shared" si="13"/>
        <v>1.66</v>
      </c>
      <c r="I36" s="34">
        <f t="shared" si="14"/>
        <v>1.1100000000000001</v>
      </c>
      <c r="J36" s="71">
        <v>2.77</v>
      </c>
      <c r="K36" s="35">
        <f t="shared" si="15"/>
        <v>2.08</v>
      </c>
      <c r="L36" s="35">
        <f t="shared" si="16"/>
        <v>1.39</v>
      </c>
      <c r="M36" s="33">
        <f t="shared" si="18"/>
        <v>3.47</v>
      </c>
      <c r="N36" s="33">
        <f t="shared" ref="N36:N39" si="24">ROUND(M36*F36,2)</f>
        <v>1769.7</v>
      </c>
      <c r="O36" s="28">
        <f t="shared" ref="O36:O39" si="25">P36/$P$46</f>
        <v>1.7732349438605861E-2</v>
      </c>
      <c r="P36" s="135">
        <f t="shared" si="19"/>
        <v>1769.7</v>
      </c>
      <c r="Q36" s="134"/>
    </row>
    <row r="37" spans="1:20">
      <c r="A37" s="27">
        <v>1</v>
      </c>
      <c r="B37" s="48" t="s">
        <v>82</v>
      </c>
      <c r="C37" s="5" t="s">
        <v>36</v>
      </c>
      <c r="D37" s="68" t="s">
        <v>83</v>
      </c>
      <c r="E37" s="7" t="s">
        <v>44</v>
      </c>
      <c r="F37" s="16">
        <f>(18+18+10.2+10.2)</f>
        <v>56.400000000000006</v>
      </c>
      <c r="G37" s="16">
        <f>(18+18+10.2+10.2)</f>
        <v>56.400000000000006</v>
      </c>
      <c r="H37" s="33">
        <f t="shared" si="13"/>
        <v>33.19</v>
      </c>
      <c r="I37" s="34">
        <f t="shared" si="14"/>
        <v>22.13</v>
      </c>
      <c r="J37" s="71">
        <v>55.32</v>
      </c>
      <c r="K37" s="35">
        <f t="shared" si="15"/>
        <v>41.49</v>
      </c>
      <c r="L37" s="35">
        <f t="shared" si="16"/>
        <v>27.66</v>
      </c>
      <c r="M37" s="33">
        <f t="shared" si="18"/>
        <v>69.150000000000006</v>
      </c>
      <c r="N37" s="33">
        <f t="shared" si="24"/>
        <v>3900.06</v>
      </c>
      <c r="O37" s="28">
        <f t="shared" si="25"/>
        <v>3.9078502995721971E-2</v>
      </c>
      <c r="P37" s="135">
        <f t="shared" si="19"/>
        <v>3900.06</v>
      </c>
      <c r="Q37" s="134"/>
    </row>
    <row r="38" spans="1:20">
      <c r="A38" s="27">
        <v>1</v>
      </c>
      <c r="B38" s="48" t="s">
        <v>55</v>
      </c>
      <c r="C38" s="5" t="s">
        <v>114</v>
      </c>
      <c r="D38" s="26" t="s">
        <v>129</v>
      </c>
      <c r="E38" s="7" t="s">
        <v>57</v>
      </c>
      <c r="F38" s="16">
        <v>3135.81</v>
      </c>
      <c r="G38" s="16">
        <v>3135.81</v>
      </c>
      <c r="H38" s="33">
        <f>ROUND(J38*0.6,2)</f>
        <v>3.55</v>
      </c>
      <c r="I38" s="34">
        <f t="shared" si="14"/>
        <v>2.37</v>
      </c>
      <c r="J38" s="71">
        <v>5.92</v>
      </c>
      <c r="K38" s="35">
        <f t="shared" si="15"/>
        <v>4.4400000000000004</v>
      </c>
      <c r="L38" s="35">
        <f>ROUND((I38*$M$7)+I38,2)</f>
        <v>2.96</v>
      </c>
      <c r="M38" s="33">
        <f t="shared" si="18"/>
        <v>7.4</v>
      </c>
      <c r="N38" s="33">
        <f t="shared" si="24"/>
        <v>23204.99</v>
      </c>
      <c r="O38" s="28">
        <f t="shared" si="25"/>
        <v>0.23251341549378687</v>
      </c>
      <c r="P38" s="135">
        <f t="shared" si="19"/>
        <v>23204.99</v>
      </c>
      <c r="Q38" s="134"/>
    </row>
    <row r="39" spans="1:20">
      <c r="A39" s="27">
        <v>1</v>
      </c>
      <c r="B39" s="48" t="s">
        <v>55</v>
      </c>
      <c r="C39" s="5" t="s">
        <v>115</v>
      </c>
      <c r="D39" s="26" t="s">
        <v>130</v>
      </c>
      <c r="E39" s="7" t="s">
        <v>57</v>
      </c>
      <c r="F39" s="16">
        <v>101.16</v>
      </c>
      <c r="G39" s="16">
        <v>101.16</v>
      </c>
      <c r="H39" s="33">
        <f>ROUND(J39*0.6,2)</f>
        <v>3.55</v>
      </c>
      <c r="I39" s="34">
        <f t="shared" si="14"/>
        <v>2.37</v>
      </c>
      <c r="J39" s="71">
        <v>5.92</v>
      </c>
      <c r="K39" s="35">
        <f t="shared" si="15"/>
        <v>4.4400000000000004</v>
      </c>
      <c r="L39" s="35">
        <f>ROUND((I39*$M$7)+I39,2)</f>
        <v>2.96</v>
      </c>
      <c r="M39" s="33">
        <f t="shared" si="18"/>
        <v>7.4</v>
      </c>
      <c r="N39" s="33">
        <f t="shared" si="24"/>
        <v>748.58</v>
      </c>
      <c r="O39" s="28">
        <f t="shared" si="25"/>
        <v>7.5007527506083371E-3</v>
      </c>
      <c r="P39" s="135">
        <f t="shared" si="19"/>
        <v>748.58</v>
      </c>
      <c r="Q39" s="134"/>
    </row>
    <row r="40" spans="1:20">
      <c r="A40" s="27">
        <v>1</v>
      </c>
      <c r="B40" s="149" t="s">
        <v>131</v>
      </c>
      <c r="C40" s="96" t="s">
        <v>214</v>
      </c>
      <c r="D40" s="96" t="s">
        <v>132</v>
      </c>
      <c r="E40" s="97" t="s">
        <v>43</v>
      </c>
      <c r="F40" s="98">
        <f>(17*30)*0.25</f>
        <v>127.5</v>
      </c>
      <c r="G40" s="98">
        <f>(17*30)*0.25</f>
        <v>127.5</v>
      </c>
      <c r="H40" s="99">
        <f>ROUND(J40*0.6,2)</f>
        <v>223.69</v>
      </c>
      <c r="I40" s="100">
        <f t="shared" si="14"/>
        <v>149.13</v>
      </c>
      <c r="J40" s="100">
        <v>372.82</v>
      </c>
      <c r="K40" s="101">
        <f>ROUND((H40*$N$7)+H40,2)</f>
        <v>261.27</v>
      </c>
      <c r="L40" s="101">
        <f>ROUND((I40*$N$7)+I40,2)</f>
        <v>174.18</v>
      </c>
      <c r="M40" s="99">
        <f t="shared" si="18"/>
        <v>435.45</v>
      </c>
      <c r="N40" s="99">
        <f>M40*F40</f>
        <v>55519.875</v>
      </c>
      <c r="O40" s="102">
        <f>P40/$P$46</f>
        <v>0.55630779959849952</v>
      </c>
      <c r="P40" s="145">
        <f t="shared" si="19"/>
        <v>55519.88</v>
      </c>
      <c r="Q40" s="128">
        <f t="shared" ref="Q40:Q45" si="26">(P40-N40)</f>
        <v>4.9999999973806553E-3</v>
      </c>
    </row>
    <row r="41" spans="1:20" s="14" customFormat="1">
      <c r="A41" s="119">
        <v>1</v>
      </c>
      <c r="B41" s="120">
        <v>84155</v>
      </c>
      <c r="C41" s="121" t="s">
        <v>216</v>
      </c>
      <c r="D41" s="121" t="s">
        <v>229</v>
      </c>
      <c r="E41" s="122" t="s">
        <v>223</v>
      </c>
      <c r="F41" s="106">
        <v>0</v>
      </c>
      <c r="G41" s="106">
        <f>(6*5)</f>
        <v>30</v>
      </c>
      <c r="H41" s="123">
        <f t="shared" ref="H41:H45" si="27">ROUND(J41*0.6,2)</f>
        <v>0.94</v>
      </c>
      <c r="I41" s="124">
        <f>ROUND(J41*0.4,2)</f>
        <v>0.62</v>
      </c>
      <c r="J41" s="124">
        <v>1.56</v>
      </c>
      <c r="K41" s="125">
        <f t="shared" ref="K41:L45" si="28">ROUND((H41*$M$7)+H41,2)</f>
        <v>1.18</v>
      </c>
      <c r="L41" s="125">
        <f t="shared" si="28"/>
        <v>0.78</v>
      </c>
      <c r="M41" s="123">
        <f t="shared" si="18"/>
        <v>1.96</v>
      </c>
      <c r="N41" s="123">
        <v>0</v>
      </c>
      <c r="O41" s="126">
        <f>P41/$P$46</f>
        <v>5.8917451940443269E-4</v>
      </c>
      <c r="P41" s="144">
        <f t="shared" si="19"/>
        <v>58.8</v>
      </c>
      <c r="Q41" s="129">
        <f t="shared" si="26"/>
        <v>58.8</v>
      </c>
    </row>
    <row r="42" spans="1:20" s="14" customFormat="1">
      <c r="A42" s="119"/>
      <c r="B42" s="120">
        <v>4230</v>
      </c>
      <c r="C42" s="121" t="s">
        <v>217</v>
      </c>
      <c r="D42" s="121" t="s">
        <v>231</v>
      </c>
      <c r="E42" s="122" t="s">
        <v>223</v>
      </c>
      <c r="F42" s="106">
        <v>0</v>
      </c>
      <c r="G42" s="106">
        <f>(6*5)</f>
        <v>30</v>
      </c>
      <c r="H42" s="106">
        <v>1</v>
      </c>
      <c r="I42" s="123">
        <f t="shared" ref="I42" si="29">ROUND(K42*0.6,2)</f>
        <v>0.94</v>
      </c>
      <c r="J42" s="124">
        <v>13.65</v>
      </c>
      <c r="K42" s="124">
        <v>1.56</v>
      </c>
      <c r="L42" s="125">
        <f t="shared" ref="L42" si="30">ROUND((I42*$M$7)+I42,2)</f>
        <v>1.18</v>
      </c>
      <c r="M42" s="123">
        <f t="shared" si="18"/>
        <v>2.74</v>
      </c>
      <c r="N42" s="123">
        <v>0</v>
      </c>
      <c r="O42" s="126">
        <f t="shared" ref="O42:O45" si="31">P42/$P$46</f>
        <v>8.2364193018782939E-4</v>
      </c>
      <c r="P42" s="144">
        <f t="shared" si="19"/>
        <v>82.2</v>
      </c>
      <c r="Q42" s="129">
        <f t="shared" si="26"/>
        <v>82.2</v>
      </c>
    </row>
    <row r="43" spans="1:20" s="14" customFormat="1">
      <c r="A43" s="119">
        <v>1</v>
      </c>
      <c r="B43" s="120">
        <v>4035</v>
      </c>
      <c r="C43" s="121" t="s">
        <v>218</v>
      </c>
      <c r="D43" s="121" t="s">
        <v>220</v>
      </c>
      <c r="E43" s="122" t="s">
        <v>223</v>
      </c>
      <c r="F43" s="106">
        <v>0</v>
      </c>
      <c r="G43" s="106">
        <v>48</v>
      </c>
      <c r="H43" s="123">
        <f t="shared" si="27"/>
        <v>2.08</v>
      </c>
      <c r="I43" s="124">
        <f>ROUND(J43*0.4,2)</f>
        <v>1.39</v>
      </c>
      <c r="J43" s="124">
        <v>3.47</v>
      </c>
      <c r="K43" s="125">
        <f t="shared" si="28"/>
        <v>2.6</v>
      </c>
      <c r="L43" s="125">
        <f t="shared" si="28"/>
        <v>1.74</v>
      </c>
      <c r="M43" s="123">
        <f t="shared" si="18"/>
        <v>4.34</v>
      </c>
      <c r="N43" s="123">
        <v>0</v>
      </c>
      <c r="O43" s="126">
        <f t="shared" si="31"/>
        <v>2.0873611544614187E-3</v>
      </c>
      <c r="P43" s="144">
        <f t="shared" si="19"/>
        <v>208.32</v>
      </c>
      <c r="Q43" s="129">
        <f t="shared" si="26"/>
        <v>208.32</v>
      </c>
    </row>
    <row r="44" spans="1:20" s="14" customFormat="1">
      <c r="A44" s="119">
        <v>1</v>
      </c>
      <c r="B44" s="120">
        <v>11622</v>
      </c>
      <c r="C44" s="121" t="s">
        <v>219</v>
      </c>
      <c r="D44" s="121" t="s">
        <v>221</v>
      </c>
      <c r="E44" s="122" t="s">
        <v>57</v>
      </c>
      <c r="F44" s="106">
        <v>0</v>
      </c>
      <c r="G44" s="106">
        <v>47.8</v>
      </c>
      <c r="H44" s="123">
        <f t="shared" si="27"/>
        <v>23.35</v>
      </c>
      <c r="I44" s="124">
        <f>ROUND(J44*0.4,2)</f>
        <v>15.57</v>
      </c>
      <c r="J44" s="124">
        <v>38.92</v>
      </c>
      <c r="K44" s="125">
        <f t="shared" si="28"/>
        <v>29.19</v>
      </c>
      <c r="L44" s="125">
        <f t="shared" si="28"/>
        <v>19.46</v>
      </c>
      <c r="M44" s="123">
        <f t="shared" si="18"/>
        <v>48.65</v>
      </c>
      <c r="N44" s="123">
        <v>0</v>
      </c>
      <c r="O44" s="126">
        <f t="shared" si="31"/>
        <v>2.3301150844207925E-2</v>
      </c>
      <c r="P44" s="144">
        <f t="shared" si="19"/>
        <v>2325.4699999999998</v>
      </c>
      <c r="Q44" s="129">
        <f t="shared" si="26"/>
        <v>2325.4699999999998</v>
      </c>
    </row>
    <row r="45" spans="1:20" s="14" customFormat="1">
      <c r="A45" s="119">
        <v>1</v>
      </c>
      <c r="B45" s="120">
        <v>7353</v>
      </c>
      <c r="C45" s="121" t="s">
        <v>230</v>
      </c>
      <c r="D45" s="121" t="s">
        <v>222</v>
      </c>
      <c r="E45" s="122" t="s">
        <v>224</v>
      </c>
      <c r="F45" s="106">
        <v>0</v>
      </c>
      <c r="G45" s="106">
        <v>54</v>
      </c>
      <c r="H45" s="123">
        <f t="shared" si="27"/>
        <v>12.61</v>
      </c>
      <c r="I45" s="124">
        <f>ROUND(J45*0.4,2)</f>
        <v>8.41</v>
      </c>
      <c r="J45" s="124">
        <v>21.02</v>
      </c>
      <c r="K45" s="125">
        <f t="shared" si="28"/>
        <v>15.76</v>
      </c>
      <c r="L45" s="125">
        <f t="shared" si="28"/>
        <v>10.51</v>
      </c>
      <c r="M45" s="123">
        <f t="shared" si="18"/>
        <v>26.27</v>
      </c>
      <c r="N45" s="123">
        <v>0</v>
      </c>
      <c r="O45" s="126">
        <f t="shared" si="31"/>
        <v>1.4214135879876532E-2</v>
      </c>
      <c r="P45" s="144">
        <f t="shared" si="19"/>
        <v>1418.58</v>
      </c>
      <c r="Q45" s="129">
        <f t="shared" si="26"/>
        <v>1418.58</v>
      </c>
    </row>
    <row r="46" spans="1:20">
      <c r="A46" s="56"/>
      <c r="B46" s="56"/>
      <c r="C46" s="54"/>
      <c r="D46" s="183" t="s">
        <v>10</v>
      </c>
      <c r="E46" s="184"/>
      <c r="F46" s="184"/>
      <c r="G46" s="184"/>
      <c r="H46" s="184"/>
      <c r="I46" s="184"/>
      <c r="J46" s="184"/>
      <c r="K46" s="184"/>
      <c r="L46" s="185"/>
      <c r="M46" s="186">
        <f>(N31+N32+N33+N35+N36+N37+N38+N39+N40)</f>
        <v>91923.175000000003</v>
      </c>
      <c r="N46" s="187"/>
      <c r="O46" s="137">
        <f>P46/P96</f>
        <v>0.43508572048374594</v>
      </c>
      <c r="P46" s="132">
        <f>SUM(P31:P45)</f>
        <v>99800.650000000009</v>
      </c>
      <c r="Q46" s="127"/>
      <c r="R46" s="36"/>
      <c r="S46" s="140">
        <f>O46</f>
        <v>0.43508572048374594</v>
      </c>
      <c r="T46" s="138">
        <f>P46</f>
        <v>99800.650000000009</v>
      </c>
    </row>
    <row r="47" spans="1:20" ht="15.75">
      <c r="A47" s="56"/>
      <c r="B47" s="56"/>
      <c r="C47" s="152">
        <v>6</v>
      </c>
      <c r="D47" s="156" t="s">
        <v>236</v>
      </c>
      <c r="E47" s="161"/>
      <c r="F47" s="161"/>
      <c r="G47" s="161"/>
      <c r="H47" s="161"/>
      <c r="I47" s="161"/>
      <c r="J47" s="161"/>
      <c r="K47" s="161"/>
      <c r="L47" s="162"/>
      <c r="M47" s="159"/>
      <c r="N47" s="160"/>
      <c r="O47" s="137"/>
      <c r="P47" s="132"/>
      <c r="Q47" s="127"/>
      <c r="R47" s="36"/>
      <c r="S47" s="140"/>
      <c r="T47" s="138"/>
    </row>
    <row r="48" spans="1:20">
      <c r="A48" s="27">
        <v>1</v>
      </c>
      <c r="B48" s="51">
        <v>79467</v>
      </c>
      <c r="C48" s="5" t="s">
        <v>116</v>
      </c>
      <c r="D48" s="5" t="s">
        <v>64</v>
      </c>
      <c r="E48" s="15" t="s">
        <v>32</v>
      </c>
      <c r="F48" s="16">
        <f>(104.04+54+16.9+18.85+11.31+86+93.6)</f>
        <v>384.70000000000005</v>
      </c>
      <c r="G48" s="16">
        <f>(104.04+54+16.9+18.85+11.31+86+93.6)</f>
        <v>384.70000000000005</v>
      </c>
      <c r="H48" s="8">
        <f>ROUND(J48*0.6,2)</f>
        <v>3.39</v>
      </c>
      <c r="I48" s="9">
        <f>ROUND(J48*0.4,2)</f>
        <v>2.2599999999999998</v>
      </c>
      <c r="J48" s="71">
        <v>5.65</v>
      </c>
      <c r="K48" s="35">
        <f t="shared" ref="K48:L50" si="32">ROUND((H48*$M$7)+H48,2)</f>
        <v>4.24</v>
      </c>
      <c r="L48" s="35">
        <f t="shared" si="32"/>
        <v>2.83</v>
      </c>
      <c r="M48" s="11">
        <f>ROUND(K48+L48,2)</f>
        <v>7.07</v>
      </c>
      <c r="N48" s="11">
        <f>ROUND(M48*F48,2)</f>
        <v>2719.83</v>
      </c>
      <c r="O48" s="28">
        <f>P48/$P$51</f>
        <v>0.39998499962499057</v>
      </c>
      <c r="P48" s="134">
        <f>ROUND(N48,2)</f>
        <v>2719.83</v>
      </c>
      <c r="Q48" s="134"/>
    </row>
    <row r="49" spans="1:20">
      <c r="A49" s="27">
        <v>1</v>
      </c>
      <c r="B49" s="51" t="s">
        <v>58</v>
      </c>
      <c r="C49" s="5" t="s">
        <v>117</v>
      </c>
      <c r="D49" s="59" t="s">
        <v>62</v>
      </c>
      <c r="E49" s="7" t="s">
        <v>44</v>
      </c>
      <c r="F49" s="16">
        <f>(510-95.33)</f>
        <v>414.67</v>
      </c>
      <c r="G49" s="16">
        <f>(510-95.33)</f>
        <v>414.67</v>
      </c>
      <c r="H49" s="8">
        <f>ROUND(J49*0.6,2)</f>
        <v>3.84</v>
      </c>
      <c r="I49" s="9">
        <f>ROUND(J49*0.4,2)</f>
        <v>2.56</v>
      </c>
      <c r="J49" s="71">
        <v>6.4</v>
      </c>
      <c r="K49" s="35">
        <f t="shared" si="32"/>
        <v>4.8</v>
      </c>
      <c r="L49" s="35">
        <f t="shared" si="32"/>
        <v>3.2</v>
      </c>
      <c r="M49" s="11">
        <f t="shared" ref="M49:M50" si="33">ROUND(K49+L49,2)</f>
        <v>8</v>
      </c>
      <c r="N49" s="11">
        <f t="shared" ref="N49:N50" si="34">ROUND(M49*F49,2)</f>
        <v>3317.36</v>
      </c>
      <c r="O49" s="28">
        <f t="shared" ref="O49:O50" si="35">P49/$P$51</f>
        <v>0.48785925530491198</v>
      </c>
      <c r="P49" s="134">
        <f t="shared" ref="P49:P50" si="36">ROUND(N49,2)</f>
        <v>3317.36</v>
      </c>
      <c r="Q49" s="134"/>
    </row>
    <row r="50" spans="1:20">
      <c r="A50" s="27">
        <v>1</v>
      </c>
      <c r="B50" s="51" t="s">
        <v>58</v>
      </c>
      <c r="C50" s="5" t="s">
        <v>118</v>
      </c>
      <c r="D50" s="59" t="s">
        <v>63</v>
      </c>
      <c r="E50" s="7" t="s">
        <v>44</v>
      </c>
      <c r="F50" s="16">
        <v>95.33</v>
      </c>
      <c r="G50" s="16">
        <v>95.33</v>
      </c>
      <c r="H50" s="8">
        <f>ROUND(J50*0.6,2)</f>
        <v>3.84</v>
      </c>
      <c r="I50" s="9">
        <f>ROUND(J50*0.4,2)</f>
        <v>2.56</v>
      </c>
      <c r="J50" s="71">
        <v>6.4</v>
      </c>
      <c r="K50" s="35">
        <f t="shared" si="32"/>
        <v>4.8</v>
      </c>
      <c r="L50" s="35">
        <f t="shared" si="32"/>
        <v>3.2</v>
      </c>
      <c r="M50" s="11">
        <f t="shared" si="33"/>
        <v>8</v>
      </c>
      <c r="N50" s="11">
        <f t="shared" si="34"/>
        <v>762.64</v>
      </c>
      <c r="O50" s="28">
        <f t="shared" si="35"/>
        <v>0.11215574507009732</v>
      </c>
      <c r="P50" s="134">
        <f t="shared" si="36"/>
        <v>762.64</v>
      </c>
      <c r="Q50" s="134"/>
    </row>
    <row r="51" spans="1:20" ht="15.75">
      <c r="A51" s="56"/>
      <c r="B51" s="56"/>
      <c r="C51" s="152">
        <v>7</v>
      </c>
      <c r="D51" s="156" t="s">
        <v>237</v>
      </c>
      <c r="E51" s="156"/>
      <c r="F51" s="156"/>
      <c r="G51" s="156"/>
      <c r="H51" s="156"/>
      <c r="I51" s="156"/>
      <c r="J51" s="156"/>
      <c r="K51" s="156"/>
      <c r="L51" s="156"/>
      <c r="M51" s="186">
        <f>SUM(N48:N50)</f>
        <v>6799.8300000000008</v>
      </c>
      <c r="N51" s="187"/>
      <c r="O51" s="137">
        <f>P51/P96</f>
        <v>2.9644185030027265E-2</v>
      </c>
      <c r="P51" s="132">
        <f>SUM(P48:P50)</f>
        <v>6799.8300000000008</v>
      </c>
      <c r="Q51" s="127"/>
      <c r="R51" s="36"/>
      <c r="S51" s="140">
        <f>O51</f>
        <v>2.9644185030027265E-2</v>
      </c>
      <c r="T51" s="138">
        <f>P51</f>
        <v>6799.8300000000008</v>
      </c>
    </row>
    <row r="52" spans="1:20">
      <c r="A52" s="27">
        <v>1</v>
      </c>
      <c r="B52" s="51">
        <v>73935</v>
      </c>
      <c r="C52" s="5" t="s">
        <v>119</v>
      </c>
      <c r="D52" s="5" t="s">
        <v>98</v>
      </c>
      <c r="E52" s="7" t="s">
        <v>44</v>
      </c>
      <c r="F52" s="16">
        <f>(22.4+22.4+15.2)*0.4</f>
        <v>24</v>
      </c>
      <c r="G52" s="16">
        <f>(22.4+22.4+15.2)*0.4</f>
        <v>24</v>
      </c>
      <c r="H52" s="8">
        <f>ROUND(J52*0.6,2)</f>
        <v>18.23</v>
      </c>
      <c r="I52" s="9">
        <f>ROUND(J52*0.4,2)</f>
        <v>12.15</v>
      </c>
      <c r="J52" s="71">
        <v>30.38</v>
      </c>
      <c r="K52" s="35">
        <f t="shared" ref="K52:L55" si="37">ROUND((H52*$M$7)+H52,2)</f>
        <v>22.79</v>
      </c>
      <c r="L52" s="35">
        <f t="shared" si="37"/>
        <v>15.19</v>
      </c>
      <c r="M52" s="11">
        <f>K52+L52</f>
        <v>37.979999999999997</v>
      </c>
      <c r="N52" s="11">
        <f>ROUND(M52*F52,2)</f>
        <v>911.52</v>
      </c>
      <c r="O52" s="28">
        <f>P52/$P$56</f>
        <v>0.5999447128358365</v>
      </c>
      <c r="P52" s="134">
        <f>ROUND(N52,2)</f>
        <v>911.52</v>
      </c>
      <c r="Q52" s="134"/>
    </row>
    <row r="53" spans="1:20" ht="16.5" customHeight="1">
      <c r="A53" s="27">
        <v>1</v>
      </c>
      <c r="B53" s="51" t="s">
        <v>99</v>
      </c>
      <c r="C53" s="5" t="s">
        <v>120</v>
      </c>
      <c r="D53" s="59" t="s">
        <v>100</v>
      </c>
      <c r="E53" s="7" t="s">
        <v>44</v>
      </c>
      <c r="F53" s="16">
        <f>F54</f>
        <v>23.36</v>
      </c>
      <c r="G53" s="16">
        <f>G54</f>
        <v>23.36</v>
      </c>
      <c r="H53" s="8">
        <f>ROUND(J53*0.6,2)</f>
        <v>2.39</v>
      </c>
      <c r="I53" s="9">
        <f>ROUND(J53*0.4,2)</f>
        <v>1.59</v>
      </c>
      <c r="J53" s="71">
        <v>3.98</v>
      </c>
      <c r="K53" s="35">
        <f t="shared" si="37"/>
        <v>2.99</v>
      </c>
      <c r="L53" s="35">
        <f t="shared" si="37"/>
        <v>1.99</v>
      </c>
      <c r="M53" s="11">
        <f>K53+L53</f>
        <v>4.9800000000000004</v>
      </c>
      <c r="N53" s="11">
        <f t="shared" ref="N53:N55" si="38">ROUND(M53*F53,2)</f>
        <v>116.33</v>
      </c>
      <c r="O53" s="28">
        <f t="shared" ref="O53:O55" si="39">P53/$P$56</f>
        <v>7.6566140561033072E-2</v>
      </c>
      <c r="P53" s="134">
        <f t="shared" ref="P53:P55" si="40">ROUND(N53,2)</f>
        <v>116.33</v>
      </c>
      <c r="Q53" s="134"/>
    </row>
    <row r="54" spans="1:20" ht="16.5" customHeight="1">
      <c r="A54" s="27">
        <v>1</v>
      </c>
      <c r="B54" s="51" t="s">
        <v>102</v>
      </c>
      <c r="C54" s="5" t="s">
        <v>121</v>
      </c>
      <c r="D54" s="59" t="s">
        <v>103</v>
      </c>
      <c r="E54" s="7" t="s">
        <v>44</v>
      </c>
      <c r="F54" s="16">
        <f>F55</f>
        <v>23.36</v>
      </c>
      <c r="G54" s="16">
        <f>G55</f>
        <v>23.36</v>
      </c>
      <c r="H54" s="8">
        <f>ROUND(J54*0.6,2)</f>
        <v>6.55</v>
      </c>
      <c r="I54" s="9">
        <f>ROUND(J54*0.4,2)</f>
        <v>4.37</v>
      </c>
      <c r="J54" s="71">
        <v>10.92</v>
      </c>
      <c r="K54" s="35">
        <f t="shared" si="37"/>
        <v>8.19</v>
      </c>
      <c r="L54" s="35">
        <f t="shared" si="37"/>
        <v>5.46</v>
      </c>
      <c r="M54" s="11">
        <f>K54+L54</f>
        <v>13.649999999999999</v>
      </c>
      <c r="N54" s="11">
        <f t="shared" si="38"/>
        <v>318.86</v>
      </c>
      <c r="O54" s="28">
        <f t="shared" si="39"/>
        <v>0.209867442442113</v>
      </c>
      <c r="P54" s="134">
        <f t="shared" si="40"/>
        <v>318.86</v>
      </c>
      <c r="Q54" s="134"/>
    </row>
    <row r="55" spans="1:20" ht="16.5" customHeight="1">
      <c r="A55" s="27">
        <v>1</v>
      </c>
      <c r="B55" s="51" t="s">
        <v>104</v>
      </c>
      <c r="C55" s="5" t="s">
        <v>122</v>
      </c>
      <c r="D55" s="59" t="s">
        <v>105</v>
      </c>
      <c r="E55" s="7" t="s">
        <v>44</v>
      </c>
      <c r="F55" s="16">
        <f>(0.32+0.32+0.32+0.32+4+4+4+4+0.52+0.52+2.52+2.52)</f>
        <v>23.36</v>
      </c>
      <c r="G55" s="16">
        <f>(0.32+0.32+0.32+0.32+4+4+4+4+0.52+0.52+2.52+2.52)</f>
        <v>23.36</v>
      </c>
      <c r="H55" s="8">
        <f>ROUND(J55*0.6,2)</f>
        <v>3.55</v>
      </c>
      <c r="I55" s="9">
        <f>ROUND(J55*0.4,2)</f>
        <v>2.36</v>
      </c>
      <c r="J55" s="71">
        <v>5.91</v>
      </c>
      <c r="K55" s="35">
        <f t="shared" si="37"/>
        <v>4.4400000000000004</v>
      </c>
      <c r="L55" s="35">
        <f t="shared" si="37"/>
        <v>2.95</v>
      </c>
      <c r="M55" s="11">
        <f>K55+L55</f>
        <v>7.3900000000000006</v>
      </c>
      <c r="N55" s="11">
        <f t="shared" si="38"/>
        <v>172.63</v>
      </c>
      <c r="O55" s="28">
        <f t="shared" si="39"/>
        <v>0.11362170416101727</v>
      </c>
      <c r="P55" s="134">
        <f t="shared" si="40"/>
        <v>172.63</v>
      </c>
      <c r="Q55" s="134"/>
    </row>
    <row r="56" spans="1:20">
      <c r="A56" s="56"/>
      <c r="B56" s="56"/>
      <c r="C56" s="54"/>
      <c r="D56" s="183" t="s">
        <v>10</v>
      </c>
      <c r="E56" s="184"/>
      <c r="F56" s="184"/>
      <c r="G56" s="184"/>
      <c r="H56" s="184"/>
      <c r="I56" s="184"/>
      <c r="J56" s="184"/>
      <c r="K56" s="184"/>
      <c r="L56" s="185"/>
      <c r="M56" s="186">
        <f>SUM(N52:N55)</f>
        <v>1519.3400000000001</v>
      </c>
      <c r="N56" s="187"/>
      <c r="O56" s="137">
        <f>P56/P96</f>
        <v>6.6236356031726708E-3</v>
      </c>
      <c r="P56" s="132">
        <f>SUM(P52:P55)</f>
        <v>1519.3400000000001</v>
      </c>
      <c r="Q56" s="133"/>
      <c r="R56" s="36"/>
      <c r="S56" s="140">
        <f>O56</f>
        <v>6.6236356031726708E-3</v>
      </c>
      <c r="T56" s="138">
        <f>P56</f>
        <v>1519.3400000000001</v>
      </c>
    </row>
    <row r="57" spans="1:20" ht="15.75">
      <c r="A57" s="56"/>
      <c r="B57" s="56"/>
      <c r="C57" s="152">
        <v>8</v>
      </c>
      <c r="D57" s="156" t="s">
        <v>238</v>
      </c>
      <c r="E57" s="161"/>
      <c r="F57" s="161"/>
      <c r="G57" s="161"/>
      <c r="H57" s="161"/>
      <c r="I57" s="161"/>
      <c r="J57" s="161"/>
      <c r="K57" s="161"/>
      <c r="L57" s="162"/>
      <c r="M57" s="159"/>
      <c r="N57" s="160"/>
      <c r="O57" s="137"/>
      <c r="P57" s="132"/>
      <c r="Q57" s="133"/>
      <c r="R57" s="36"/>
      <c r="S57" s="140"/>
      <c r="T57" s="138"/>
    </row>
    <row r="58" spans="1:20">
      <c r="A58" s="27">
        <v>1</v>
      </c>
      <c r="B58" s="51" t="s">
        <v>134</v>
      </c>
      <c r="C58" s="26" t="s">
        <v>39</v>
      </c>
      <c r="D58" s="26" t="s">
        <v>137</v>
      </c>
      <c r="E58" s="15" t="s">
        <v>44</v>
      </c>
      <c r="F58" s="16">
        <f>(80.4+80.4+84.1+84.1)-22.05</f>
        <v>306.95</v>
      </c>
      <c r="G58" s="16">
        <f>(80.4+80.4+84.1+84.1)-22.05</f>
        <v>306.95</v>
      </c>
      <c r="H58" s="33">
        <f>ROUND(J58*0.6,2)</f>
        <v>48.9</v>
      </c>
      <c r="I58" s="34">
        <f>ROUND(J58*0.4,2)</f>
        <v>32.6</v>
      </c>
      <c r="J58" s="34">
        <v>81.5</v>
      </c>
      <c r="K58" s="35">
        <f>ROUND((H58*$N$7)+H58,2)</f>
        <v>57.12</v>
      </c>
      <c r="L58" s="35">
        <f>ROUND((I58*$N$7)+I58,2)</f>
        <v>38.08</v>
      </c>
      <c r="M58" s="103">
        <f>K58+L58</f>
        <v>95.199999999999989</v>
      </c>
      <c r="N58" s="103">
        <f>ROUND(M58*F58,2)</f>
        <v>29221.64</v>
      </c>
      <c r="O58" s="104">
        <f>P58/$P$60</f>
        <v>0.6625412449589495</v>
      </c>
      <c r="P58" s="136">
        <f>ROUND(N58,2)</f>
        <v>29221.64</v>
      </c>
      <c r="Q58" s="136"/>
    </row>
    <row r="59" spans="1:20" ht="16.5" customHeight="1">
      <c r="A59" s="27">
        <v>1</v>
      </c>
      <c r="B59" s="51" t="s">
        <v>93</v>
      </c>
      <c r="C59" s="26" t="s">
        <v>74</v>
      </c>
      <c r="D59" s="68" t="s">
        <v>92</v>
      </c>
      <c r="E59" s="15" t="s">
        <v>44</v>
      </c>
      <c r="F59" s="16">
        <f>(7.35*3)</f>
        <v>22.049999999999997</v>
      </c>
      <c r="G59" s="16">
        <f>(7.35*3)</f>
        <v>22.049999999999997</v>
      </c>
      <c r="H59" s="33">
        <f>ROUND(J59*0.6,2)</f>
        <v>324</v>
      </c>
      <c r="I59" s="34">
        <f>ROUND(J59*0.4,2)</f>
        <v>216</v>
      </c>
      <c r="J59" s="34">
        <v>540</v>
      </c>
      <c r="K59" s="35">
        <f>ROUND((H59*$M$7)+H59,2)</f>
        <v>405</v>
      </c>
      <c r="L59" s="35">
        <f>ROUND((I59*$M$7)+I59,2)</f>
        <v>270</v>
      </c>
      <c r="M59" s="103">
        <f>K59+L59</f>
        <v>675</v>
      </c>
      <c r="N59" s="103">
        <f>ROUND(M59*F59,2)</f>
        <v>14883.75</v>
      </c>
      <c r="O59" s="104">
        <f>P59/$P$60</f>
        <v>0.33745875504105055</v>
      </c>
      <c r="P59" s="136">
        <f>ROUND(N59,2)</f>
        <v>14883.75</v>
      </c>
      <c r="Q59" s="136"/>
    </row>
    <row r="60" spans="1:20">
      <c r="A60" s="56"/>
      <c r="B60" s="56"/>
      <c r="C60" s="54"/>
      <c r="D60" s="183" t="s">
        <v>10</v>
      </c>
      <c r="E60" s="184"/>
      <c r="F60" s="184"/>
      <c r="G60" s="184"/>
      <c r="H60" s="184"/>
      <c r="I60" s="184"/>
      <c r="J60" s="184"/>
      <c r="K60" s="184"/>
      <c r="L60" s="185"/>
      <c r="M60" s="186">
        <f>SUM(N58:N59)</f>
        <v>44105.39</v>
      </c>
      <c r="N60" s="187"/>
      <c r="O60" s="137">
        <f>P60/P96</f>
        <v>0.19227956316283112</v>
      </c>
      <c r="P60" s="132">
        <f>SUM(P58:P59)</f>
        <v>44105.39</v>
      </c>
      <c r="Q60" s="133"/>
      <c r="R60" s="36"/>
      <c r="S60" s="140">
        <f>O60</f>
        <v>0.19227956316283112</v>
      </c>
      <c r="T60" s="138">
        <f>P60</f>
        <v>44105.39</v>
      </c>
    </row>
    <row r="61" spans="1:20" ht="15.75">
      <c r="A61" s="56"/>
      <c r="B61" s="56"/>
      <c r="C61" s="152">
        <v>9</v>
      </c>
      <c r="D61" s="156" t="s">
        <v>239</v>
      </c>
      <c r="E61" s="161"/>
      <c r="F61" s="161"/>
      <c r="G61" s="161"/>
      <c r="H61" s="161"/>
      <c r="I61" s="161"/>
      <c r="J61" s="161"/>
      <c r="K61" s="161"/>
      <c r="L61" s="162"/>
      <c r="M61" s="159"/>
      <c r="N61" s="160"/>
      <c r="O61" s="137"/>
      <c r="P61" s="132"/>
      <c r="Q61" s="133"/>
      <c r="R61" s="36"/>
      <c r="S61" s="140"/>
      <c r="T61" s="138"/>
    </row>
    <row r="62" spans="1:20">
      <c r="A62" s="27">
        <v>1</v>
      </c>
      <c r="B62" s="51">
        <v>25398</v>
      </c>
      <c r="C62" s="26" t="s">
        <v>56</v>
      </c>
      <c r="D62" s="26" t="s">
        <v>59</v>
      </c>
      <c r="E62" s="15" t="s">
        <v>1</v>
      </c>
      <c r="F62" s="16">
        <v>1</v>
      </c>
      <c r="G62" s="16">
        <v>1</v>
      </c>
      <c r="H62" s="33">
        <f>ROUND(J62*0.6,2)</f>
        <v>1493.63</v>
      </c>
      <c r="I62" s="34">
        <f>ROUND(J62*0.4,2)</f>
        <v>995.76</v>
      </c>
      <c r="J62" s="34">
        <v>2489.39</v>
      </c>
      <c r="K62" s="35">
        <f t="shared" ref="K62:L64" si="41">ROUND((H62*$M$7)+H62,2)</f>
        <v>1867.04</v>
      </c>
      <c r="L62" s="35">
        <f t="shared" si="41"/>
        <v>1244.7</v>
      </c>
      <c r="M62" s="103">
        <f>K62+L62</f>
        <v>3111.74</v>
      </c>
      <c r="N62" s="103">
        <f>ROUND(M62*F62,2)</f>
        <v>3111.74</v>
      </c>
      <c r="O62" s="104">
        <f>P62/$P$65</f>
        <v>0.61236763232831315</v>
      </c>
      <c r="P62" s="136">
        <f>ROUND(N62,2)</f>
        <v>3111.74</v>
      </c>
      <c r="Q62" s="136"/>
    </row>
    <row r="63" spans="1:20">
      <c r="A63" s="27">
        <v>1</v>
      </c>
      <c r="B63" s="51">
        <v>1383</v>
      </c>
      <c r="C63" s="26" t="s">
        <v>61</v>
      </c>
      <c r="D63" s="68" t="s">
        <v>87</v>
      </c>
      <c r="E63" s="15" t="s">
        <v>1</v>
      </c>
      <c r="F63" s="16">
        <v>1</v>
      </c>
      <c r="G63" s="16">
        <v>1</v>
      </c>
      <c r="H63" s="33">
        <f>ROUND(J63*0.6,2)</f>
        <v>341.41</v>
      </c>
      <c r="I63" s="34">
        <f>ROUND(J63*0.4,2)</f>
        <v>227.61</v>
      </c>
      <c r="J63" s="34">
        <v>569.02</v>
      </c>
      <c r="K63" s="35">
        <f t="shared" si="41"/>
        <v>426.76</v>
      </c>
      <c r="L63" s="35">
        <f t="shared" si="41"/>
        <v>284.51</v>
      </c>
      <c r="M63" s="103">
        <f>K63+L63</f>
        <v>711.27</v>
      </c>
      <c r="N63" s="103">
        <f t="shared" ref="N63:N64" si="42">ROUND(M63*F63,2)</f>
        <v>711.27</v>
      </c>
      <c r="O63" s="104">
        <f t="shared" ref="O63:O64" si="43">P63/$P$65</f>
        <v>0.13997272453552009</v>
      </c>
      <c r="P63" s="136">
        <f t="shared" ref="P63:P64" si="44">ROUND(N63,2)</f>
        <v>711.27</v>
      </c>
      <c r="Q63" s="136"/>
    </row>
    <row r="64" spans="1:20">
      <c r="A64" s="27">
        <v>1</v>
      </c>
      <c r="B64" s="51">
        <v>25400</v>
      </c>
      <c r="C64" s="26" t="s">
        <v>75</v>
      </c>
      <c r="D64" s="68" t="s">
        <v>88</v>
      </c>
      <c r="E64" s="15" t="s">
        <v>1</v>
      </c>
      <c r="F64" s="16">
        <v>1</v>
      </c>
      <c r="G64" s="16">
        <v>1</v>
      </c>
      <c r="H64" s="33">
        <f>ROUND(J64*0.6,2)</f>
        <v>604.07000000000005</v>
      </c>
      <c r="I64" s="34">
        <f>ROUND(J64*0.4,2)</f>
        <v>402.71</v>
      </c>
      <c r="J64" s="34">
        <v>1006.78</v>
      </c>
      <c r="K64" s="35">
        <f t="shared" si="41"/>
        <v>755.09</v>
      </c>
      <c r="L64" s="35">
        <f t="shared" si="41"/>
        <v>503.39</v>
      </c>
      <c r="M64" s="103">
        <f>K64+L64</f>
        <v>1258.48</v>
      </c>
      <c r="N64" s="103">
        <f t="shared" si="42"/>
        <v>1258.48</v>
      </c>
      <c r="O64" s="104">
        <f t="shared" si="43"/>
        <v>0.24765964313616676</v>
      </c>
      <c r="P64" s="136">
        <f t="shared" si="44"/>
        <v>1258.48</v>
      </c>
      <c r="Q64" s="136"/>
    </row>
    <row r="65" spans="1:20">
      <c r="A65" s="56"/>
      <c r="B65" s="56"/>
      <c r="C65" s="54"/>
      <c r="D65" s="183" t="s">
        <v>10</v>
      </c>
      <c r="E65" s="184"/>
      <c r="F65" s="184"/>
      <c r="G65" s="184"/>
      <c r="H65" s="184"/>
      <c r="I65" s="184"/>
      <c r="J65" s="184"/>
      <c r="K65" s="184"/>
      <c r="L65" s="185"/>
      <c r="M65" s="186">
        <f>SUM(N62:N64)</f>
        <v>5081.49</v>
      </c>
      <c r="N65" s="187"/>
      <c r="O65" s="137">
        <f>P65/P96</f>
        <v>2.2152999382077671E-2</v>
      </c>
      <c r="P65" s="132">
        <f>SUM(P62:P64)</f>
        <v>5081.49</v>
      </c>
      <c r="Q65" s="133"/>
      <c r="R65" s="36"/>
      <c r="S65" s="140">
        <f>O65</f>
        <v>2.2152999382077671E-2</v>
      </c>
      <c r="T65" s="138">
        <f>P65</f>
        <v>5081.49</v>
      </c>
    </row>
    <row r="66" spans="1:20" ht="15.75">
      <c r="A66" s="56"/>
      <c r="B66" s="56"/>
      <c r="C66" s="152">
        <v>10</v>
      </c>
      <c r="D66" s="156" t="s">
        <v>240</v>
      </c>
      <c r="E66" s="161"/>
      <c r="F66" s="161"/>
      <c r="G66" s="161"/>
      <c r="H66" s="161"/>
      <c r="I66" s="161"/>
      <c r="J66" s="161"/>
      <c r="K66" s="161"/>
      <c r="L66" s="162"/>
      <c r="M66" s="159"/>
      <c r="N66" s="160"/>
      <c r="O66" s="137"/>
      <c r="P66" s="132"/>
      <c r="Q66" s="133"/>
      <c r="R66" s="36"/>
      <c r="S66" s="140"/>
      <c r="T66" s="138"/>
    </row>
    <row r="67" spans="1:20">
      <c r="A67" s="27">
        <v>1</v>
      </c>
      <c r="B67" s="51">
        <v>84863</v>
      </c>
      <c r="C67" s="5" t="s">
        <v>97</v>
      </c>
      <c r="D67" s="5" t="s">
        <v>193</v>
      </c>
      <c r="E67" s="7" t="s">
        <v>32</v>
      </c>
      <c r="F67" s="16">
        <v>7.98</v>
      </c>
      <c r="G67" s="16">
        <v>7.98</v>
      </c>
      <c r="H67" s="8">
        <f>ROUND(J67*0.6,2)</f>
        <v>43.04</v>
      </c>
      <c r="I67" s="9">
        <f>ROUND(J67*0.4,2)</f>
        <v>28.7</v>
      </c>
      <c r="J67" s="71">
        <v>71.739999999999995</v>
      </c>
      <c r="K67" s="35">
        <f>ROUND((H67*$M$7)+H67,2)</f>
        <v>53.8</v>
      </c>
      <c r="L67" s="35">
        <f>ROUND((I67*$M$7)+I67,2)</f>
        <v>35.880000000000003</v>
      </c>
      <c r="M67" s="11">
        <f>K67+L67</f>
        <v>89.68</v>
      </c>
      <c r="N67" s="11">
        <f>ROUND(M67*F67,2)</f>
        <v>715.65</v>
      </c>
      <c r="O67" s="28">
        <f>P67/$P$69</f>
        <v>0.92992281504197105</v>
      </c>
      <c r="P67" s="134">
        <f>ROUND(N67,2)</f>
        <v>715.65</v>
      </c>
      <c r="Q67" s="134"/>
    </row>
    <row r="68" spans="1:20" s="14" customFormat="1">
      <c r="A68" s="17">
        <v>1</v>
      </c>
      <c r="B68" s="51">
        <v>84662</v>
      </c>
      <c r="C68" s="26" t="s">
        <v>149</v>
      </c>
      <c r="D68" s="68" t="s">
        <v>207</v>
      </c>
      <c r="E68" s="15" t="s">
        <v>44</v>
      </c>
      <c r="F68" s="16">
        <f>(0.856*4)</f>
        <v>3.4239999999999999</v>
      </c>
      <c r="G68" s="16">
        <f>(0.856*4)</f>
        <v>3.4239999999999999</v>
      </c>
      <c r="H68" s="33">
        <f>ROUND(J68*0.6,2)</f>
        <v>7.56</v>
      </c>
      <c r="I68" s="34">
        <f>ROUND(J68*0.4,2)</f>
        <v>5.04</v>
      </c>
      <c r="J68" s="34">
        <v>12.6</v>
      </c>
      <c r="K68" s="35">
        <f>ROUND((H68*$M$7)+H68,2)</f>
        <v>9.4499999999999993</v>
      </c>
      <c r="L68" s="35">
        <f>ROUND((I68*$M$7)+I68,2)</f>
        <v>6.3</v>
      </c>
      <c r="M68" s="103">
        <f>K68+L68</f>
        <v>15.75</v>
      </c>
      <c r="N68" s="11">
        <f>ROUND(M68*F68,2)</f>
        <v>53.93</v>
      </c>
      <c r="O68" s="28">
        <f>P68/$P$69</f>
        <v>7.007718495802906E-2</v>
      </c>
      <c r="P68" s="134">
        <f>ROUND(N68,2)</f>
        <v>53.93</v>
      </c>
      <c r="Q68" s="136"/>
    </row>
    <row r="69" spans="1:20">
      <c r="A69" s="56"/>
      <c r="B69" s="56"/>
      <c r="C69" s="54"/>
      <c r="D69" s="183" t="s">
        <v>10</v>
      </c>
      <c r="E69" s="184"/>
      <c r="F69" s="184"/>
      <c r="G69" s="184"/>
      <c r="H69" s="184"/>
      <c r="I69" s="184"/>
      <c r="J69" s="184"/>
      <c r="K69" s="184"/>
      <c r="L69" s="185"/>
      <c r="M69" s="186">
        <f>SUM(N67:N68)</f>
        <v>769.57999999999993</v>
      </c>
      <c r="N69" s="187"/>
      <c r="O69" s="137">
        <f>P69/P96</f>
        <v>3.3550209219066324E-3</v>
      </c>
      <c r="P69" s="132">
        <f>SUM(P67:P68)</f>
        <v>769.57999999999993</v>
      </c>
      <c r="Q69" s="133"/>
      <c r="R69" s="36"/>
      <c r="S69" s="140">
        <f>O69</f>
        <v>3.3550209219066324E-3</v>
      </c>
      <c r="T69" s="138">
        <f>P69</f>
        <v>769.57999999999993</v>
      </c>
    </row>
    <row r="70" spans="1:20" ht="15.75">
      <c r="A70" s="56"/>
      <c r="B70" s="56"/>
      <c r="C70" s="152">
        <v>11</v>
      </c>
      <c r="D70" s="156" t="s">
        <v>241</v>
      </c>
      <c r="E70" s="161"/>
      <c r="F70" s="161"/>
      <c r="G70" s="161"/>
      <c r="H70" s="161"/>
      <c r="I70" s="161"/>
      <c r="J70" s="161"/>
      <c r="K70" s="161"/>
      <c r="L70" s="162"/>
      <c r="M70" s="159"/>
      <c r="N70" s="160"/>
      <c r="O70" s="137"/>
      <c r="P70" s="132"/>
      <c r="Q70" s="133"/>
      <c r="R70" s="36"/>
      <c r="S70" s="140"/>
      <c r="T70" s="138"/>
    </row>
    <row r="71" spans="1:20" s="14" customFormat="1">
      <c r="A71" s="18">
        <v>1</v>
      </c>
      <c r="B71" s="69">
        <v>72210</v>
      </c>
      <c r="C71" s="5" t="s">
        <v>60</v>
      </c>
      <c r="D71" s="5" t="s">
        <v>147</v>
      </c>
      <c r="E71" s="7" t="s">
        <v>1</v>
      </c>
      <c r="F71" s="16">
        <v>3</v>
      </c>
      <c r="G71" s="16">
        <v>3</v>
      </c>
      <c r="H71" s="8">
        <f t="shared" ref="H71:H87" si="45">ROUND(J71*0.6,2)</f>
        <v>15.38</v>
      </c>
      <c r="I71" s="9">
        <f t="shared" ref="I71:I87" si="46">ROUND(J71*0.4,2)</f>
        <v>10.25</v>
      </c>
      <c r="J71" s="71">
        <v>25.63</v>
      </c>
      <c r="K71" s="35">
        <f t="shared" ref="K71:K87" si="47">ROUND((H71*$M$7)+H71,2)</f>
        <v>19.23</v>
      </c>
      <c r="L71" s="35">
        <f t="shared" ref="L71:L87" si="48">ROUND((I71*$M$7)+I71,2)</f>
        <v>12.81</v>
      </c>
      <c r="M71" s="11">
        <f t="shared" ref="M71:M87" si="49">K71+L71</f>
        <v>32.04</v>
      </c>
      <c r="N71" s="11">
        <f>ROUND(M71*F71,2)</f>
        <v>96.12</v>
      </c>
      <c r="O71" s="28">
        <f>P71/$P$88</f>
        <v>4.3391605629352088E-3</v>
      </c>
      <c r="P71" s="134">
        <f>ROUND(N71,2)</f>
        <v>96.12</v>
      </c>
      <c r="Q71" s="134"/>
      <c r="R71" s="32"/>
    </row>
    <row r="72" spans="1:20" s="14" customFormat="1">
      <c r="A72" s="18">
        <v>1</v>
      </c>
      <c r="B72" s="69">
        <v>85407</v>
      </c>
      <c r="C72" s="5" t="s">
        <v>123</v>
      </c>
      <c r="D72" s="59" t="s">
        <v>148</v>
      </c>
      <c r="E72" s="7" t="s">
        <v>32</v>
      </c>
      <c r="F72" s="16">
        <v>100</v>
      </c>
      <c r="G72" s="16">
        <v>100</v>
      </c>
      <c r="H72" s="8">
        <f t="shared" si="45"/>
        <v>2.57</v>
      </c>
      <c r="I72" s="71">
        <f t="shared" si="46"/>
        <v>1.72</v>
      </c>
      <c r="J72" s="71">
        <v>4.29</v>
      </c>
      <c r="K72" s="35">
        <f t="shared" si="47"/>
        <v>3.21</v>
      </c>
      <c r="L72" s="35">
        <f t="shared" si="48"/>
        <v>2.15</v>
      </c>
      <c r="M72" s="11">
        <f t="shared" si="49"/>
        <v>5.3599999999999994</v>
      </c>
      <c r="N72" s="11">
        <f t="shared" ref="N72:N87" si="50">ROUND(M72*F72,2)</f>
        <v>536</v>
      </c>
      <c r="O72" s="28">
        <f t="shared" ref="O72:O87" si="51">P72/$P$88</f>
        <v>2.4196733892356135E-2</v>
      </c>
      <c r="P72" s="134">
        <f t="shared" ref="P72:P87" si="52">ROUND(N72,2)</f>
        <v>536</v>
      </c>
      <c r="Q72" s="134"/>
      <c r="R72" s="32"/>
    </row>
    <row r="73" spans="1:20" s="14" customFormat="1">
      <c r="A73" s="18">
        <v>1</v>
      </c>
      <c r="B73" s="69">
        <v>85332</v>
      </c>
      <c r="C73" s="5" t="s">
        <v>124</v>
      </c>
      <c r="D73" s="59" t="s">
        <v>150</v>
      </c>
      <c r="E73" s="7" t="s">
        <v>1</v>
      </c>
      <c r="F73" s="16">
        <v>6</v>
      </c>
      <c r="G73" s="16">
        <v>6</v>
      </c>
      <c r="H73" s="8">
        <f t="shared" si="45"/>
        <v>1.43</v>
      </c>
      <c r="I73" s="9">
        <f t="shared" si="46"/>
        <v>0.96</v>
      </c>
      <c r="J73" s="71">
        <v>2.39</v>
      </c>
      <c r="K73" s="35">
        <f t="shared" si="47"/>
        <v>1.79</v>
      </c>
      <c r="L73" s="35">
        <f t="shared" si="48"/>
        <v>1.2</v>
      </c>
      <c r="M73" s="11">
        <f t="shared" si="49"/>
        <v>2.99</v>
      </c>
      <c r="N73" s="11">
        <f t="shared" si="50"/>
        <v>17.940000000000001</v>
      </c>
      <c r="O73" s="28">
        <f t="shared" si="51"/>
        <v>8.098682948299796E-4</v>
      </c>
      <c r="P73" s="134">
        <f t="shared" si="52"/>
        <v>17.940000000000001</v>
      </c>
      <c r="Q73" s="134"/>
      <c r="R73" s="32"/>
    </row>
    <row r="74" spans="1:20" s="14" customFormat="1" ht="30" customHeight="1">
      <c r="A74" s="18">
        <v>1</v>
      </c>
      <c r="B74" s="69" t="s">
        <v>160</v>
      </c>
      <c r="C74" s="5" t="s">
        <v>125</v>
      </c>
      <c r="D74" s="93" t="s">
        <v>161</v>
      </c>
      <c r="E74" s="7" t="s">
        <v>1</v>
      </c>
      <c r="F74" s="16">
        <v>1</v>
      </c>
      <c r="G74" s="16">
        <v>1</v>
      </c>
      <c r="H74" s="8">
        <f t="shared" si="45"/>
        <v>86.77</v>
      </c>
      <c r="I74" s="9">
        <f t="shared" si="46"/>
        <v>57.84</v>
      </c>
      <c r="J74" s="71">
        <v>144.61000000000001</v>
      </c>
      <c r="K74" s="35">
        <f t="shared" si="47"/>
        <v>108.46</v>
      </c>
      <c r="L74" s="35">
        <f t="shared" si="48"/>
        <v>72.3</v>
      </c>
      <c r="M74" s="11">
        <f t="shared" si="49"/>
        <v>180.76</v>
      </c>
      <c r="N74" s="11">
        <f t="shared" si="50"/>
        <v>180.76</v>
      </c>
      <c r="O74" s="28">
        <f t="shared" si="51"/>
        <v>8.160077646235624E-3</v>
      </c>
      <c r="P74" s="134">
        <f t="shared" si="52"/>
        <v>180.76</v>
      </c>
      <c r="Q74" s="134"/>
      <c r="R74" s="32"/>
    </row>
    <row r="75" spans="1:20" s="14" customFormat="1" ht="29.25" customHeight="1">
      <c r="A75" s="18">
        <v>1</v>
      </c>
      <c r="B75" s="69" t="s">
        <v>173</v>
      </c>
      <c r="C75" s="5" t="s">
        <v>194</v>
      </c>
      <c r="D75" s="93" t="s">
        <v>172</v>
      </c>
      <c r="E75" s="7" t="s">
        <v>1</v>
      </c>
      <c r="F75" s="16">
        <v>1</v>
      </c>
      <c r="G75" s="16">
        <v>1</v>
      </c>
      <c r="H75" s="8">
        <f t="shared" si="45"/>
        <v>35.74</v>
      </c>
      <c r="I75" s="9">
        <f t="shared" si="46"/>
        <v>23.83</v>
      </c>
      <c r="J75" s="71">
        <v>59.57</v>
      </c>
      <c r="K75" s="35">
        <f t="shared" si="47"/>
        <v>44.68</v>
      </c>
      <c r="L75" s="35">
        <f t="shared" si="48"/>
        <v>29.79</v>
      </c>
      <c r="M75" s="11">
        <f t="shared" si="49"/>
        <v>74.47</v>
      </c>
      <c r="N75" s="11">
        <f t="shared" si="50"/>
        <v>74.47</v>
      </c>
      <c r="O75" s="28">
        <f t="shared" si="51"/>
        <v>3.3618111435891069E-3</v>
      </c>
      <c r="P75" s="134">
        <f t="shared" si="52"/>
        <v>74.47</v>
      </c>
      <c r="Q75" s="134"/>
      <c r="R75" s="32"/>
    </row>
    <row r="76" spans="1:20" s="14" customFormat="1" ht="17.25" customHeight="1">
      <c r="A76" s="18">
        <v>1</v>
      </c>
      <c r="B76" s="69" t="s">
        <v>175</v>
      </c>
      <c r="C76" s="5" t="s">
        <v>195</v>
      </c>
      <c r="D76" s="93" t="s">
        <v>174</v>
      </c>
      <c r="E76" s="7" t="s">
        <v>32</v>
      </c>
      <c r="F76" s="16">
        <v>132</v>
      </c>
      <c r="G76" s="16">
        <v>132</v>
      </c>
      <c r="H76" s="8">
        <f t="shared" si="45"/>
        <v>5.12</v>
      </c>
      <c r="I76" s="8">
        <f t="shared" si="46"/>
        <v>3.41</v>
      </c>
      <c r="J76" s="8">
        <v>8.5299999999999994</v>
      </c>
      <c r="K76" s="8">
        <f t="shared" si="47"/>
        <v>6.4</v>
      </c>
      <c r="L76" s="8">
        <f t="shared" si="48"/>
        <v>4.26</v>
      </c>
      <c r="M76" s="8">
        <f t="shared" si="49"/>
        <v>10.66</v>
      </c>
      <c r="N76" s="11">
        <f t="shared" si="50"/>
        <v>1407.12</v>
      </c>
      <c r="O76" s="28">
        <f t="shared" si="51"/>
        <v>6.352184364666448E-2</v>
      </c>
      <c r="P76" s="134">
        <f t="shared" si="52"/>
        <v>1407.12</v>
      </c>
      <c r="Q76" s="134"/>
      <c r="R76" s="32"/>
    </row>
    <row r="77" spans="1:20" s="14" customFormat="1" ht="29.25" customHeight="1">
      <c r="A77" s="18">
        <v>1</v>
      </c>
      <c r="B77" s="69">
        <v>83419</v>
      </c>
      <c r="C77" s="5" t="s">
        <v>196</v>
      </c>
      <c r="D77" s="93" t="s">
        <v>176</v>
      </c>
      <c r="E77" s="7" t="s">
        <v>32</v>
      </c>
      <c r="F77" s="16">
        <v>380</v>
      </c>
      <c r="G77" s="16">
        <v>380</v>
      </c>
      <c r="H77" s="8">
        <f t="shared" si="45"/>
        <v>2.72</v>
      </c>
      <c r="I77" s="8">
        <f t="shared" si="46"/>
        <v>1.82</v>
      </c>
      <c r="J77" s="8">
        <v>4.54</v>
      </c>
      <c r="K77" s="8">
        <f t="shared" si="47"/>
        <v>3.4</v>
      </c>
      <c r="L77" s="8">
        <f t="shared" si="48"/>
        <v>2.2799999999999998</v>
      </c>
      <c r="M77" s="8">
        <f t="shared" si="49"/>
        <v>5.68</v>
      </c>
      <c r="N77" s="11">
        <f t="shared" si="50"/>
        <v>2158.4</v>
      </c>
      <c r="O77" s="28">
        <f t="shared" si="51"/>
        <v>9.7436997076980378E-2</v>
      </c>
      <c r="P77" s="134">
        <f t="shared" si="52"/>
        <v>2158.4</v>
      </c>
      <c r="Q77" s="134"/>
      <c r="R77" s="32"/>
    </row>
    <row r="78" spans="1:20" s="14" customFormat="1" ht="29.25" customHeight="1">
      <c r="A78" s="18">
        <v>1</v>
      </c>
      <c r="B78" s="69">
        <v>83420</v>
      </c>
      <c r="C78" s="5" t="s">
        <v>197</v>
      </c>
      <c r="D78" s="93" t="s">
        <v>188</v>
      </c>
      <c r="E78" s="7" t="s">
        <v>32</v>
      </c>
      <c r="F78" s="16">
        <v>100</v>
      </c>
      <c r="G78" s="16">
        <v>100</v>
      </c>
      <c r="H78" s="8">
        <f t="shared" si="45"/>
        <v>3.91</v>
      </c>
      <c r="I78" s="8">
        <f t="shared" si="46"/>
        <v>2.6</v>
      </c>
      <c r="J78" s="8">
        <v>6.51</v>
      </c>
      <c r="K78" s="8">
        <f t="shared" si="47"/>
        <v>4.8899999999999997</v>
      </c>
      <c r="L78" s="8">
        <f t="shared" si="48"/>
        <v>3.25</v>
      </c>
      <c r="M78" s="8">
        <f t="shared" si="49"/>
        <v>8.14</v>
      </c>
      <c r="N78" s="11">
        <f t="shared" si="50"/>
        <v>814</v>
      </c>
      <c r="O78" s="28">
        <f t="shared" si="51"/>
        <v>3.6746532441003531E-2</v>
      </c>
      <c r="P78" s="134">
        <f t="shared" si="52"/>
        <v>814</v>
      </c>
      <c r="Q78" s="134"/>
      <c r="R78" s="32"/>
    </row>
    <row r="79" spans="1:20" s="14" customFormat="1" ht="15" customHeight="1">
      <c r="A79" s="18">
        <v>1</v>
      </c>
      <c r="B79" s="69">
        <v>83446</v>
      </c>
      <c r="C79" s="5" t="s">
        <v>198</v>
      </c>
      <c r="D79" s="93" t="s">
        <v>177</v>
      </c>
      <c r="E79" s="7" t="s">
        <v>1</v>
      </c>
      <c r="F79" s="16">
        <v>7</v>
      </c>
      <c r="G79" s="16">
        <v>7</v>
      </c>
      <c r="H79" s="8">
        <f t="shared" si="45"/>
        <v>54.63</v>
      </c>
      <c r="I79" s="9">
        <f t="shared" si="46"/>
        <v>36.42</v>
      </c>
      <c r="J79" s="71">
        <v>91.05</v>
      </c>
      <c r="K79" s="35">
        <f t="shared" si="47"/>
        <v>68.290000000000006</v>
      </c>
      <c r="L79" s="35">
        <f t="shared" si="48"/>
        <v>45.53</v>
      </c>
      <c r="M79" s="11">
        <f t="shared" si="49"/>
        <v>113.82000000000001</v>
      </c>
      <c r="N79" s="11">
        <f t="shared" si="50"/>
        <v>796.74</v>
      </c>
      <c r="O79" s="28">
        <f t="shared" si="51"/>
        <v>3.5967361495141466E-2</v>
      </c>
      <c r="P79" s="134">
        <f t="shared" si="52"/>
        <v>796.74</v>
      </c>
      <c r="Q79" s="134"/>
      <c r="R79" s="32"/>
    </row>
    <row r="80" spans="1:20" s="14" customFormat="1" ht="15.75" customHeight="1">
      <c r="A80" s="18">
        <v>1</v>
      </c>
      <c r="B80" s="69">
        <v>83448</v>
      </c>
      <c r="C80" s="5" t="s">
        <v>199</v>
      </c>
      <c r="D80" s="94" t="s">
        <v>178</v>
      </c>
      <c r="E80" s="7" t="s">
        <v>1</v>
      </c>
      <c r="F80" s="16">
        <v>1</v>
      </c>
      <c r="G80" s="16">
        <v>1</v>
      </c>
      <c r="H80" s="8">
        <f t="shared" si="45"/>
        <v>90.44</v>
      </c>
      <c r="I80" s="9">
        <f t="shared" si="46"/>
        <v>60.3</v>
      </c>
      <c r="J80" s="71">
        <v>150.74</v>
      </c>
      <c r="K80" s="35">
        <f t="shared" si="47"/>
        <v>113.05</v>
      </c>
      <c r="L80" s="35">
        <f t="shared" si="48"/>
        <v>75.38</v>
      </c>
      <c r="M80" s="11">
        <f t="shared" si="49"/>
        <v>188.43</v>
      </c>
      <c r="N80" s="11">
        <f t="shared" si="50"/>
        <v>188.43</v>
      </c>
      <c r="O80" s="28">
        <f t="shared" si="51"/>
        <v>8.5063256853296024E-3</v>
      </c>
      <c r="P80" s="134">
        <f t="shared" si="52"/>
        <v>188.43</v>
      </c>
      <c r="Q80" s="134"/>
      <c r="R80" s="32"/>
    </row>
    <row r="81" spans="1:20" s="14" customFormat="1" ht="15" customHeight="1">
      <c r="A81" s="18">
        <v>1</v>
      </c>
      <c r="B81" s="69">
        <v>68069</v>
      </c>
      <c r="C81" s="5" t="s">
        <v>200</v>
      </c>
      <c r="D81" s="94" t="s">
        <v>179</v>
      </c>
      <c r="E81" s="7" t="s">
        <v>1</v>
      </c>
      <c r="F81" s="16">
        <v>7</v>
      </c>
      <c r="G81" s="16">
        <v>7</v>
      </c>
      <c r="H81" s="8">
        <f t="shared" si="45"/>
        <v>20.190000000000001</v>
      </c>
      <c r="I81" s="9">
        <f t="shared" si="46"/>
        <v>13.46</v>
      </c>
      <c r="J81" s="71">
        <v>33.65</v>
      </c>
      <c r="K81" s="35">
        <f t="shared" si="47"/>
        <v>25.24</v>
      </c>
      <c r="L81" s="35">
        <f t="shared" si="48"/>
        <v>16.829999999999998</v>
      </c>
      <c r="M81" s="11">
        <f t="shared" si="49"/>
        <v>42.069999999999993</v>
      </c>
      <c r="N81" s="11">
        <f t="shared" si="50"/>
        <v>294.49</v>
      </c>
      <c r="O81" s="28">
        <f t="shared" si="51"/>
        <v>1.3294209261119325E-2</v>
      </c>
      <c r="P81" s="134">
        <f t="shared" si="52"/>
        <v>294.49</v>
      </c>
      <c r="Q81" s="134"/>
      <c r="R81" s="32"/>
    </row>
    <row r="82" spans="1:20" s="14" customFormat="1" ht="18.75" customHeight="1">
      <c r="A82" s="18">
        <v>1</v>
      </c>
      <c r="B82" s="69" t="s">
        <v>181</v>
      </c>
      <c r="C82" s="5" t="s">
        <v>201</v>
      </c>
      <c r="D82" s="93" t="s">
        <v>180</v>
      </c>
      <c r="E82" s="7" t="s">
        <v>1</v>
      </c>
      <c r="F82" s="16">
        <v>6</v>
      </c>
      <c r="G82" s="16">
        <v>6</v>
      </c>
      <c r="H82" s="8">
        <f t="shared" si="45"/>
        <v>661.98</v>
      </c>
      <c r="I82" s="9">
        <f t="shared" si="46"/>
        <v>441.32</v>
      </c>
      <c r="J82" s="71">
        <v>1103.3</v>
      </c>
      <c r="K82" s="35">
        <f t="shared" si="47"/>
        <v>827.48</v>
      </c>
      <c r="L82" s="35">
        <f t="shared" si="48"/>
        <v>551.65</v>
      </c>
      <c r="M82" s="11">
        <f t="shared" si="49"/>
        <v>1379.13</v>
      </c>
      <c r="N82" s="11">
        <f t="shared" si="50"/>
        <v>8274.7800000000007</v>
      </c>
      <c r="O82" s="28">
        <f t="shared" si="51"/>
        <v>0.373549719548117</v>
      </c>
      <c r="P82" s="134">
        <f t="shared" si="52"/>
        <v>8274.7800000000007</v>
      </c>
      <c r="Q82" s="134"/>
      <c r="R82" s="32"/>
    </row>
    <row r="83" spans="1:20" s="14" customFormat="1" ht="29.25" customHeight="1">
      <c r="A83" s="18">
        <v>1</v>
      </c>
      <c r="B83" s="69">
        <v>83478</v>
      </c>
      <c r="C83" s="5" t="s">
        <v>202</v>
      </c>
      <c r="D83" s="93" t="s">
        <v>182</v>
      </c>
      <c r="E83" s="7" t="s">
        <v>1</v>
      </c>
      <c r="F83" s="16">
        <v>6</v>
      </c>
      <c r="G83" s="16">
        <v>6</v>
      </c>
      <c r="H83" s="8">
        <f t="shared" si="45"/>
        <v>104.83</v>
      </c>
      <c r="I83" s="9">
        <f t="shared" si="46"/>
        <v>69.89</v>
      </c>
      <c r="J83" s="71">
        <v>174.72</v>
      </c>
      <c r="K83" s="35">
        <f t="shared" si="47"/>
        <v>131.04</v>
      </c>
      <c r="L83" s="35">
        <f t="shared" si="48"/>
        <v>87.36</v>
      </c>
      <c r="M83" s="11">
        <f t="shared" si="49"/>
        <v>218.39999999999998</v>
      </c>
      <c r="N83" s="11">
        <f t="shared" si="50"/>
        <v>1310.4000000000001</v>
      </c>
      <c r="O83" s="28">
        <f t="shared" si="51"/>
        <v>5.9155597187581122E-2</v>
      </c>
      <c r="P83" s="134">
        <f t="shared" si="52"/>
        <v>1310.4000000000001</v>
      </c>
      <c r="Q83" s="134"/>
      <c r="R83" s="32"/>
    </row>
    <row r="84" spans="1:20" s="14" customFormat="1">
      <c r="A84" s="18">
        <v>1</v>
      </c>
      <c r="B84" s="69" t="s">
        <v>170</v>
      </c>
      <c r="C84" s="5" t="s">
        <v>203</v>
      </c>
      <c r="D84" s="93" t="s">
        <v>171</v>
      </c>
      <c r="E84" s="7" t="s">
        <v>1</v>
      </c>
      <c r="F84" s="16">
        <v>18</v>
      </c>
      <c r="G84" s="16">
        <v>18</v>
      </c>
      <c r="H84" s="8">
        <f t="shared" si="45"/>
        <v>37.44</v>
      </c>
      <c r="I84" s="9">
        <f t="shared" si="46"/>
        <v>24.96</v>
      </c>
      <c r="J84" s="71">
        <v>62.4</v>
      </c>
      <c r="K84" s="35">
        <f t="shared" si="47"/>
        <v>46.8</v>
      </c>
      <c r="L84" s="35">
        <f t="shared" si="48"/>
        <v>31.2</v>
      </c>
      <c r="M84" s="11">
        <f t="shared" si="49"/>
        <v>78</v>
      </c>
      <c r="N84" s="11">
        <f t="shared" si="50"/>
        <v>1404</v>
      </c>
      <c r="O84" s="28">
        <f t="shared" si="51"/>
        <v>6.3380996986694055E-2</v>
      </c>
      <c r="P84" s="134">
        <f t="shared" si="52"/>
        <v>1404</v>
      </c>
      <c r="Q84" s="134"/>
      <c r="R84" s="32"/>
    </row>
    <row r="85" spans="1:20" s="14" customFormat="1">
      <c r="A85" s="18">
        <v>1</v>
      </c>
      <c r="B85" s="69" t="s">
        <v>184</v>
      </c>
      <c r="C85" s="5" t="s">
        <v>204</v>
      </c>
      <c r="D85" s="93" t="s">
        <v>183</v>
      </c>
      <c r="E85" s="7" t="s">
        <v>1</v>
      </c>
      <c r="F85" s="16">
        <v>4</v>
      </c>
      <c r="G85" s="16">
        <v>4</v>
      </c>
      <c r="H85" s="8">
        <f t="shared" si="45"/>
        <v>73.540000000000006</v>
      </c>
      <c r="I85" s="9">
        <f t="shared" si="46"/>
        <v>49.02</v>
      </c>
      <c r="J85" s="71">
        <v>122.56</v>
      </c>
      <c r="K85" s="35">
        <f t="shared" si="47"/>
        <v>91.93</v>
      </c>
      <c r="L85" s="35">
        <f t="shared" si="48"/>
        <v>61.28</v>
      </c>
      <c r="M85" s="11">
        <f t="shared" si="49"/>
        <v>153.21</v>
      </c>
      <c r="N85" s="11">
        <f t="shared" si="50"/>
        <v>612.84</v>
      </c>
      <c r="O85" s="28">
        <f t="shared" si="51"/>
        <v>2.7665534325730476E-2</v>
      </c>
      <c r="P85" s="134">
        <f t="shared" si="52"/>
        <v>612.84</v>
      </c>
      <c r="Q85" s="134"/>
      <c r="R85" s="32"/>
    </row>
    <row r="86" spans="1:20" s="14" customFormat="1">
      <c r="A86" s="18">
        <v>1</v>
      </c>
      <c r="B86" s="69" t="s">
        <v>186</v>
      </c>
      <c r="C86" s="5" t="s">
        <v>205</v>
      </c>
      <c r="D86" s="93" t="s">
        <v>185</v>
      </c>
      <c r="E86" s="7" t="s">
        <v>1</v>
      </c>
      <c r="F86" s="16">
        <v>12</v>
      </c>
      <c r="G86" s="16">
        <v>12</v>
      </c>
      <c r="H86" s="8">
        <f t="shared" si="45"/>
        <v>134.03</v>
      </c>
      <c r="I86" s="9">
        <f t="shared" si="46"/>
        <v>89.35</v>
      </c>
      <c r="J86" s="71">
        <v>223.38</v>
      </c>
      <c r="K86" s="35">
        <f t="shared" si="47"/>
        <v>167.54</v>
      </c>
      <c r="L86" s="35">
        <f t="shared" si="48"/>
        <v>111.69</v>
      </c>
      <c r="M86" s="11">
        <f t="shared" si="49"/>
        <v>279.23</v>
      </c>
      <c r="N86" s="11">
        <f t="shared" si="50"/>
        <v>3350.76</v>
      </c>
      <c r="O86" s="28">
        <f t="shared" si="51"/>
        <v>0.15126389562901352</v>
      </c>
      <c r="P86" s="134">
        <f t="shared" si="52"/>
        <v>3350.76</v>
      </c>
      <c r="Q86" s="134"/>
      <c r="R86" s="32"/>
    </row>
    <row r="87" spans="1:20" s="14" customFormat="1" ht="16.5" customHeight="1">
      <c r="A87" s="18">
        <v>1</v>
      </c>
      <c r="B87" s="69">
        <v>83399</v>
      </c>
      <c r="C87" s="5" t="s">
        <v>206</v>
      </c>
      <c r="D87" s="93" t="s">
        <v>187</v>
      </c>
      <c r="E87" s="7" t="s">
        <v>1</v>
      </c>
      <c r="F87" s="16">
        <v>18</v>
      </c>
      <c r="G87" s="16">
        <v>18</v>
      </c>
      <c r="H87" s="8">
        <f t="shared" si="45"/>
        <v>16.920000000000002</v>
      </c>
      <c r="I87" s="9">
        <f t="shared" si="46"/>
        <v>11.28</v>
      </c>
      <c r="J87" s="71">
        <v>28.2</v>
      </c>
      <c r="K87" s="35">
        <f t="shared" si="47"/>
        <v>21.15</v>
      </c>
      <c r="L87" s="35">
        <f t="shared" si="48"/>
        <v>14.1</v>
      </c>
      <c r="M87" s="11">
        <f t="shared" si="49"/>
        <v>35.25</v>
      </c>
      <c r="N87" s="11">
        <f t="shared" si="50"/>
        <v>634.5</v>
      </c>
      <c r="O87" s="28">
        <f t="shared" si="51"/>
        <v>2.8643335176679042E-2</v>
      </c>
      <c r="P87" s="134">
        <f t="shared" si="52"/>
        <v>634.5</v>
      </c>
      <c r="Q87" s="134"/>
      <c r="R87" s="32"/>
    </row>
    <row r="88" spans="1:20" s="14" customFormat="1">
      <c r="A88" s="56"/>
      <c r="B88" s="56"/>
      <c r="C88" s="54"/>
      <c r="D88" s="183" t="s">
        <v>10</v>
      </c>
      <c r="E88" s="184"/>
      <c r="F88" s="184"/>
      <c r="G88" s="184"/>
      <c r="H88" s="184"/>
      <c r="I88" s="184"/>
      <c r="J88" s="184"/>
      <c r="K88" s="184"/>
      <c r="L88" s="185"/>
      <c r="M88" s="186">
        <f>SUM(N71:N87)</f>
        <v>22151.75</v>
      </c>
      <c r="N88" s="187"/>
      <c r="O88" s="137">
        <f>P88/P96</f>
        <v>9.6571616604960178E-2</v>
      </c>
      <c r="P88" s="132">
        <f>SUM(P71:P87)</f>
        <v>22151.75</v>
      </c>
      <c r="Q88" s="133"/>
      <c r="R88" s="36"/>
      <c r="S88" s="141">
        <f>O88</f>
        <v>9.6571616604960178E-2</v>
      </c>
      <c r="T88" s="138">
        <f>P88</f>
        <v>22151.75</v>
      </c>
    </row>
    <row r="89" spans="1:20" s="14" customFormat="1" ht="15.75">
      <c r="A89" s="56"/>
      <c r="B89" s="56"/>
      <c r="C89" s="152">
        <v>12</v>
      </c>
      <c r="D89" s="156" t="s">
        <v>242</v>
      </c>
      <c r="E89" s="161"/>
      <c r="F89" s="161"/>
      <c r="G89" s="161"/>
      <c r="H89" s="161"/>
      <c r="I89" s="161"/>
      <c r="J89" s="161"/>
      <c r="K89" s="161"/>
      <c r="L89" s="162"/>
      <c r="M89" s="159"/>
      <c r="N89" s="160"/>
      <c r="O89" s="137"/>
      <c r="P89" s="132"/>
      <c r="Q89" s="133"/>
      <c r="R89" s="36"/>
      <c r="S89" s="141"/>
      <c r="T89" s="138"/>
    </row>
    <row r="90" spans="1:20">
      <c r="A90" s="27">
        <v>1</v>
      </c>
      <c r="B90" s="17">
        <v>9537</v>
      </c>
      <c r="C90" s="5" t="s">
        <v>189</v>
      </c>
      <c r="D90" s="5" t="s">
        <v>40</v>
      </c>
      <c r="E90" s="7" t="s">
        <v>44</v>
      </c>
      <c r="F90" s="16">
        <v>1059</v>
      </c>
      <c r="G90" s="16">
        <v>1059</v>
      </c>
      <c r="H90" s="8">
        <f>ROUND(J90*0.6,2)</f>
        <v>0.64</v>
      </c>
      <c r="I90" s="71">
        <f>ROUND(J90*0.4,2)</f>
        <v>0.43</v>
      </c>
      <c r="J90" s="71">
        <v>1.07</v>
      </c>
      <c r="K90" s="35">
        <f t="shared" ref="K90:L92" si="53">ROUND((H90*$M$7)+H90,2)</f>
        <v>0.8</v>
      </c>
      <c r="L90" s="35">
        <f t="shared" si="53"/>
        <v>0.54</v>
      </c>
      <c r="M90" s="11">
        <f>K90+L90</f>
        <v>1.34</v>
      </c>
      <c r="N90" s="11">
        <f>ROUND(M90*F90,2)</f>
        <v>1419.06</v>
      </c>
      <c r="O90" s="28">
        <f>P90/$P$94</f>
        <v>0.19832430732678805</v>
      </c>
      <c r="P90" s="134">
        <f>ROUND(N90,2)</f>
        <v>1419.06</v>
      </c>
      <c r="Q90" s="134"/>
      <c r="R90" s="32"/>
    </row>
    <row r="91" spans="1:20">
      <c r="A91" s="17">
        <v>1</v>
      </c>
      <c r="B91" s="49" t="s">
        <v>89</v>
      </c>
      <c r="C91" s="5" t="s">
        <v>190</v>
      </c>
      <c r="D91" s="5" t="s">
        <v>128</v>
      </c>
      <c r="E91" s="7" t="s">
        <v>1</v>
      </c>
      <c r="F91" s="16">
        <v>38</v>
      </c>
      <c r="G91" s="16">
        <v>38</v>
      </c>
      <c r="H91" s="8">
        <f>ROUND(J91*0.6,2)</f>
        <v>40.229999999999997</v>
      </c>
      <c r="I91" s="71">
        <f>ROUND(J91*0.4,2)</f>
        <v>26.82</v>
      </c>
      <c r="J91" s="71">
        <v>67.05</v>
      </c>
      <c r="K91" s="35">
        <f t="shared" si="53"/>
        <v>50.29</v>
      </c>
      <c r="L91" s="35">
        <f t="shared" si="53"/>
        <v>33.53</v>
      </c>
      <c r="M91" s="11">
        <f>K91+L91</f>
        <v>83.82</v>
      </c>
      <c r="N91" s="11">
        <f t="shared" ref="N91:N93" si="54">ROUND(M91*F91,2)</f>
        <v>3185.16</v>
      </c>
      <c r="O91" s="28">
        <f t="shared" ref="O91:O93" si="55">P91/$P$94</f>
        <v>0.44515006463785334</v>
      </c>
      <c r="P91" s="134">
        <f t="shared" ref="P91:P93" si="56">ROUND(N91,2)</f>
        <v>3185.16</v>
      </c>
      <c r="Q91" s="134"/>
    </row>
    <row r="92" spans="1:20">
      <c r="A92" s="17">
        <v>1</v>
      </c>
      <c r="B92" s="49" t="s">
        <v>90</v>
      </c>
      <c r="C92" s="5" t="s">
        <v>191</v>
      </c>
      <c r="D92" s="5" t="s">
        <v>91</v>
      </c>
      <c r="E92" s="7" t="s">
        <v>32</v>
      </c>
      <c r="F92" s="16">
        <f>(5.99+9.7+9.7)</f>
        <v>25.39</v>
      </c>
      <c r="G92" s="16">
        <f>(5.99+9.7+9.7)</f>
        <v>25.39</v>
      </c>
      <c r="H92" s="8">
        <f>ROUND(J92*0.6,2)</f>
        <v>40.880000000000003</v>
      </c>
      <c r="I92" s="71">
        <f>ROUND(J92*0.4,2)</f>
        <v>27.25</v>
      </c>
      <c r="J92" s="71">
        <v>68.13</v>
      </c>
      <c r="K92" s="35">
        <f t="shared" si="53"/>
        <v>51.1</v>
      </c>
      <c r="L92" s="35">
        <f t="shared" si="53"/>
        <v>34.06</v>
      </c>
      <c r="M92" s="11">
        <f>K92+L92</f>
        <v>85.16</v>
      </c>
      <c r="N92" s="11">
        <f t="shared" si="54"/>
        <v>2162.21</v>
      </c>
      <c r="O92" s="28">
        <f t="shared" si="55"/>
        <v>0.30218510883616928</v>
      </c>
      <c r="P92" s="134">
        <f t="shared" si="56"/>
        <v>2162.21</v>
      </c>
      <c r="Q92" s="134"/>
    </row>
    <row r="93" spans="1:20">
      <c r="A93" s="17">
        <v>1</v>
      </c>
      <c r="B93" s="49">
        <v>7253</v>
      </c>
      <c r="C93" s="5" t="s">
        <v>192</v>
      </c>
      <c r="D93" s="5" t="s">
        <v>127</v>
      </c>
      <c r="E93" s="7" t="s">
        <v>43</v>
      </c>
      <c r="F93" s="16">
        <f>(6.01+4.85+4.85)*0.2</f>
        <v>3.1419999999999999</v>
      </c>
      <c r="G93" s="16">
        <f>(6.01+4.85+4.85)*0.2</f>
        <v>3.1419999999999999</v>
      </c>
      <c r="H93" s="8">
        <f>ROUND(J93*0.6,2)</f>
        <v>59.4</v>
      </c>
      <c r="I93" s="71">
        <f>ROUND(J93*0.4,2)</f>
        <v>39.6</v>
      </c>
      <c r="J93" s="71">
        <v>99</v>
      </c>
      <c r="K93" s="35">
        <f>ROUND((H93*$M$7)+H93,2)</f>
        <v>74.25</v>
      </c>
      <c r="L93" s="35">
        <f>ROUND((I93*$M$7)+I93,2)</f>
        <v>49.5</v>
      </c>
      <c r="M93" s="11">
        <f>K93+L93</f>
        <v>123.75</v>
      </c>
      <c r="N93" s="11">
        <f t="shared" si="54"/>
        <v>388.82</v>
      </c>
      <c r="O93" s="28">
        <f t="shared" si="55"/>
        <v>5.4340519199189412E-2</v>
      </c>
      <c r="P93" s="134">
        <f t="shared" si="56"/>
        <v>388.82</v>
      </c>
      <c r="Q93" s="134"/>
      <c r="T93" s="131"/>
    </row>
    <row r="94" spans="1:20">
      <c r="A94" s="56"/>
      <c r="B94" s="56"/>
      <c r="C94" s="54"/>
      <c r="D94" s="188" t="s">
        <v>10</v>
      </c>
      <c r="E94" s="189"/>
      <c r="F94" s="189"/>
      <c r="G94" s="189"/>
      <c r="H94" s="189"/>
      <c r="I94" s="189"/>
      <c r="J94" s="189"/>
      <c r="K94" s="189"/>
      <c r="L94" s="189"/>
      <c r="M94" s="186">
        <f>SUM(N90:N93)</f>
        <v>7155.2499999999991</v>
      </c>
      <c r="N94" s="187"/>
      <c r="O94" s="137">
        <f>P94/P96</f>
        <v>3.1193655567286614E-2</v>
      </c>
      <c r="P94" s="132">
        <f>SUM(P90:P93)</f>
        <v>7155.2499999999991</v>
      </c>
      <c r="Q94" s="133"/>
      <c r="R94" s="36"/>
      <c r="S94" s="140">
        <f>O94</f>
        <v>3.1193655567286614E-2</v>
      </c>
      <c r="T94" s="138">
        <f>P94</f>
        <v>7155.2499999999991</v>
      </c>
    </row>
    <row r="95" spans="1:20" s="14" customFormat="1">
      <c r="A95" s="18"/>
      <c r="B95" s="18"/>
      <c r="C95" s="50"/>
      <c r="D95" s="60"/>
      <c r="E95" s="61"/>
      <c r="F95" s="61"/>
      <c r="G95" s="61"/>
      <c r="H95" s="61"/>
      <c r="I95" s="61"/>
      <c r="J95" s="73"/>
      <c r="K95" s="61"/>
      <c r="L95" s="62"/>
      <c r="M95" s="63"/>
      <c r="N95" s="64"/>
      <c r="O95" s="65"/>
      <c r="P95" s="64"/>
      <c r="Q95" s="171">
        <f>SUM(Q11:Q94)</f>
        <v>7377.8922499999971</v>
      </c>
      <c r="R95" s="32"/>
      <c r="S95" s="141">
        <f>SUM(S15:S94)</f>
        <v>1.0000000000000002</v>
      </c>
      <c r="T95" s="139">
        <f>SUM(T15:T94)</f>
        <v>229381.58</v>
      </c>
    </row>
    <row r="96" spans="1:20" ht="15.75">
      <c r="A96" s="57"/>
      <c r="B96" s="57"/>
      <c r="C96" s="58"/>
      <c r="D96" s="180" t="s">
        <v>9</v>
      </c>
      <c r="E96" s="181"/>
      <c r="F96" s="181"/>
      <c r="G96" s="181"/>
      <c r="H96" s="181"/>
      <c r="I96" s="181"/>
      <c r="J96" s="181"/>
      <c r="K96" s="181"/>
      <c r="L96" s="182"/>
      <c r="M96" s="178">
        <f>(M15+M21+M29+M46+M56+M51+M60+M65+M88+M94+M69)</f>
        <v>222003.68774999995</v>
      </c>
      <c r="N96" s="179"/>
      <c r="O96" s="172">
        <f>O94+O88+O65+O60+O56+O51+O46+O29+O21+O15+O69</f>
        <v>1</v>
      </c>
      <c r="P96" s="127">
        <f>P94+P88+P65+P60+P56+P51+P46+P29+P21+P15+P69</f>
        <v>229381.58</v>
      </c>
      <c r="Q96" s="173">
        <f>(P96-M96)</f>
        <v>7377.8922500000335</v>
      </c>
    </row>
    <row r="97" spans="1:19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</row>
    <row r="98" spans="1:19">
      <c r="A98" s="60"/>
      <c r="B98" s="75" t="s">
        <v>140</v>
      </c>
      <c r="C98" s="60"/>
      <c r="D98" s="60" t="s">
        <v>141</v>
      </c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S98" s="131"/>
    </row>
    <row r="99" spans="1:19">
      <c r="A99" s="60"/>
      <c r="B99" s="60"/>
      <c r="C99" s="60"/>
      <c r="D99" s="60" t="s">
        <v>138</v>
      </c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</row>
    <row r="100" spans="1:19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9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</row>
    <row r="102" spans="1:19">
      <c r="A102" s="60"/>
      <c r="B102" s="60"/>
      <c r="C102" s="60"/>
      <c r="D102" s="77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</row>
    <row r="103" spans="1:19">
      <c r="A103" s="60"/>
      <c r="B103" s="60"/>
      <c r="C103" s="60"/>
      <c r="D103" s="76" t="s">
        <v>143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</row>
    <row r="104" spans="1:19">
      <c r="A104" s="60"/>
      <c r="B104" s="60"/>
      <c r="C104" s="60"/>
      <c r="D104" s="76" t="s">
        <v>142</v>
      </c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</row>
    <row r="105" spans="1:19">
      <c r="A105" s="60"/>
      <c r="B105" s="60"/>
      <c r="C105" s="105"/>
      <c r="D105" s="60" t="s">
        <v>208</v>
      </c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</row>
    <row r="106" spans="1:19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</row>
    <row r="107" spans="1:19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</row>
    <row r="108" spans="1:19">
      <c r="A108" s="60"/>
      <c r="B108" s="60"/>
      <c r="C108" s="118"/>
      <c r="D108" s="60" t="s">
        <v>212</v>
      </c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</row>
    <row r="109" spans="1:19">
      <c r="A109" s="60"/>
      <c r="B109" s="60"/>
      <c r="C109" s="107"/>
      <c r="D109" s="60" t="s">
        <v>215</v>
      </c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</row>
    <row r="110" spans="1:19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</row>
    <row r="111" spans="1:19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</row>
    <row r="112" spans="1:19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</row>
    <row r="114" spans="1:17">
      <c r="C114" s="29"/>
      <c r="D114" s="30"/>
      <c r="E114"/>
      <c r="J114" s="74"/>
    </row>
    <row r="115" spans="1:17">
      <c r="C115" s="29"/>
      <c r="D115" s="30"/>
      <c r="E115"/>
      <c r="J115" s="74"/>
    </row>
    <row r="116" spans="1:17">
      <c r="C116" s="29"/>
      <c r="D116" s="29"/>
      <c r="J116" s="74"/>
    </row>
    <row r="117" spans="1:17">
      <c r="J117" s="74"/>
    </row>
    <row r="118" spans="1:17">
      <c r="J118" s="74"/>
    </row>
    <row r="119" spans="1:17">
      <c r="J119" s="74"/>
    </row>
    <row r="120" spans="1:17">
      <c r="J120" s="74"/>
    </row>
    <row r="121" spans="1:17">
      <c r="J121" s="74"/>
    </row>
    <row r="122" spans="1:17">
      <c r="J122" s="74"/>
    </row>
    <row r="123" spans="1:17">
      <c r="J123" s="74"/>
    </row>
    <row r="124" spans="1:17">
      <c r="E124"/>
      <c r="G124"/>
      <c r="I124"/>
      <c r="J124" s="74"/>
      <c r="K124"/>
      <c r="L124"/>
      <c r="M124"/>
    </row>
    <row r="125" spans="1:17">
      <c r="E125"/>
      <c r="G125"/>
      <c r="I125"/>
      <c r="J125" s="74"/>
      <c r="K125"/>
      <c r="L125"/>
      <c r="M125"/>
    </row>
    <row r="126" spans="1:17">
      <c r="E126"/>
      <c r="G126"/>
      <c r="I126"/>
      <c r="J126" s="74"/>
      <c r="K126"/>
      <c r="L126"/>
      <c r="M126"/>
    </row>
    <row r="127" spans="1:17">
      <c r="E127"/>
      <c r="G127"/>
      <c r="I127"/>
      <c r="J127" s="74"/>
      <c r="K127"/>
      <c r="L127"/>
      <c r="M127"/>
    </row>
    <row r="128" spans="1:17">
      <c r="E128"/>
      <c r="G128"/>
      <c r="I128"/>
      <c r="J128" s="74"/>
      <c r="K128"/>
      <c r="L128"/>
      <c r="M128"/>
    </row>
    <row r="129" spans="5:13">
      <c r="E129"/>
      <c r="G129"/>
      <c r="I129"/>
      <c r="J129" s="74"/>
      <c r="K129"/>
      <c r="L129"/>
      <c r="M129"/>
    </row>
    <row r="130" spans="5:13">
      <c r="E130"/>
      <c r="G130"/>
      <c r="I130"/>
      <c r="J130" s="74"/>
      <c r="K130"/>
      <c r="L130"/>
      <c r="M130"/>
    </row>
    <row r="131" spans="5:13">
      <c r="E131"/>
      <c r="G131"/>
      <c r="I131"/>
      <c r="J131" s="74"/>
      <c r="K131"/>
      <c r="L131"/>
      <c r="M131"/>
    </row>
    <row r="132" spans="5:13">
      <c r="E132"/>
      <c r="G132"/>
      <c r="I132"/>
      <c r="J132" s="74"/>
      <c r="K132"/>
      <c r="L132"/>
      <c r="M132"/>
    </row>
    <row r="133" spans="5:13">
      <c r="E133"/>
      <c r="G133"/>
      <c r="I133"/>
      <c r="J133" s="74"/>
      <c r="K133"/>
      <c r="L133"/>
      <c r="M133"/>
    </row>
    <row r="134" spans="5:13">
      <c r="E134"/>
      <c r="G134"/>
      <c r="I134"/>
      <c r="J134" s="74"/>
      <c r="K134"/>
      <c r="L134"/>
      <c r="M134"/>
    </row>
    <row r="135" spans="5:13">
      <c r="E135"/>
      <c r="G135"/>
      <c r="I135"/>
      <c r="J135" s="74"/>
      <c r="K135"/>
      <c r="L135"/>
      <c r="M135"/>
    </row>
    <row r="136" spans="5:13">
      <c r="E136"/>
      <c r="G136"/>
      <c r="I136"/>
      <c r="J136" s="74"/>
      <c r="K136"/>
      <c r="L136"/>
      <c r="M136"/>
    </row>
    <row r="137" spans="5:13">
      <c r="E137"/>
      <c r="G137"/>
      <c r="I137"/>
      <c r="J137" s="74"/>
      <c r="K137"/>
      <c r="L137"/>
      <c r="M137"/>
    </row>
    <row r="138" spans="5:13">
      <c r="E138"/>
      <c r="G138"/>
      <c r="I138"/>
      <c r="J138" s="74"/>
      <c r="K138"/>
      <c r="L138"/>
      <c r="M138"/>
    </row>
    <row r="139" spans="5:13">
      <c r="E139"/>
      <c r="G139"/>
      <c r="I139"/>
      <c r="J139" s="74"/>
      <c r="K139"/>
      <c r="L139"/>
      <c r="M139"/>
    </row>
    <row r="140" spans="5:13">
      <c r="E140"/>
      <c r="G140"/>
      <c r="I140"/>
      <c r="J140" s="74"/>
      <c r="K140"/>
      <c r="L140"/>
      <c r="M140"/>
    </row>
    <row r="141" spans="5:13">
      <c r="E141"/>
      <c r="G141"/>
      <c r="I141"/>
      <c r="J141" s="74"/>
      <c r="K141"/>
      <c r="L141"/>
      <c r="M141"/>
    </row>
    <row r="142" spans="5:13">
      <c r="E142"/>
      <c r="G142"/>
      <c r="I142"/>
      <c r="J142" s="74"/>
      <c r="K142"/>
      <c r="L142"/>
      <c r="M142"/>
    </row>
    <row r="143" spans="5:13">
      <c r="E143"/>
      <c r="G143"/>
      <c r="I143"/>
      <c r="J143" s="74"/>
      <c r="K143"/>
      <c r="L143"/>
      <c r="M143"/>
    </row>
    <row r="144" spans="5:13">
      <c r="E144"/>
      <c r="G144"/>
      <c r="I144"/>
      <c r="J144" s="74"/>
      <c r="K144"/>
      <c r="L144"/>
      <c r="M144"/>
    </row>
    <row r="145" spans="5:13">
      <c r="E145"/>
      <c r="G145"/>
      <c r="I145"/>
      <c r="J145" s="74"/>
      <c r="K145"/>
      <c r="L145"/>
      <c r="M145"/>
    </row>
    <row r="146" spans="5:13">
      <c r="E146"/>
      <c r="G146"/>
      <c r="I146"/>
      <c r="J146" s="74"/>
      <c r="K146"/>
      <c r="L146"/>
      <c r="M146"/>
    </row>
    <row r="147" spans="5:13">
      <c r="E147"/>
      <c r="G147"/>
      <c r="I147"/>
      <c r="J147" s="74"/>
      <c r="K147"/>
      <c r="L147"/>
      <c r="M147"/>
    </row>
    <row r="148" spans="5:13">
      <c r="E148"/>
      <c r="G148"/>
      <c r="I148"/>
      <c r="J148" s="74"/>
      <c r="K148"/>
      <c r="L148"/>
      <c r="M148"/>
    </row>
    <row r="149" spans="5:13">
      <c r="E149"/>
      <c r="G149"/>
      <c r="I149"/>
      <c r="J149" s="74"/>
      <c r="K149"/>
      <c r="L149"/>
      <c r="M149"/>
    </row>
    <row r="150" spans="5:13">
      <c r="E150"/>
      <c r="G150"/>
      <c r="I150"/>
      <c r="J150" s="74"/>
      <c r="K150"/>
      <c r="L150"/>
      <c r="M150"/>
    </row>
    <row r="151" spans="5:13">
      <c r="E151"/>
      <c r="G151"/>
      <c r="I151"/>
      <c r="J151" s="74"/>
      <c r="K151"/>
      <c r="L151"/>
      <c r="M151"/>
    </row>
    <row r="152" spans="5:13">
      <c r="E152"/>
      <c r="G152"/>
      <c r="I152"/>
      <c r="J152" s="74"/>
      <c r="K152"/>
      <c r="L152"/>
      <c r="M152"/>
    </row>
    <row r="153" spans="5:13">
      <c r="E153"/>
      <c r="G153"/>
      <c r="I153"/>
      <c r="J153" s="74"/>
      <c r="K153"/>
      <c r="L153"/>
      <c r="M153"/>
    </row>
    <row r="154" spans="5:13">
      <c r="E154"/>
      <c r="G154"/>
      <c r="I154"/>
      <c r="J154" s="74"/>
      <c r="K154"/>
      <c r="L154"/>
      <c r="M154"/>
    </row>
    <row r="155" spans="5:13">
      <c r="E155"/>
      <c r="G155"/>
      <c r="I155"/>
      <c r="J155" s="74"/>
      <c r="K155"/>
      <c r="L155"/>
      <c r="M155"/>
    </row>
    <row r="156" spans="5:13">
      <c r="E156"/>
      <c r="G156"/>
      <c r="I156"/>
      <c r="J156" s="74"/>
      <c r="K156"/>
      <c r="L156"/>
      <c r="M156"/>
    </row>
    <row r="157" spans="5:13">
      <c r="E157"/>
      <c r="G157"/>
      <c r="I157"/>
      <c r="J157" s="74"/>
      <c r="K157"/>
      <c r="L157"/>
      <c r="M157"/>
    </row>
    <row r="158" spans="5:13">
      <c r="E158"/>
      <c r="G158"/>
      <c r="I158"/>
      <c r="J158" s="74"/>
      <c r="K158"/>
      <c r="L158"/>
      <c r="M158"/>
    </row>
    <row r="159" spans="5:13">
      <c r="E159"/>
      <c r="G159"/>
      <c r="I159"/>
      <c r="J159" s="74"/>
      <c r="K159"/>
      <c r="L159"/>
      <c r="M159"/>
    </row>
    <row r="160" spans="5:13">
      <c r="E160"/>
      <c r="G160"/>
      <c r="I160"/>
      <c r="J160" s="74"/>
      <c r="K160"/>
      <c r="L160"/>
      <c r="M160"/>
    </row>
    <row r="161" spans="5:13">
      <c r="E161"/>
      <c r="G161"/>
      <c r="I161"/>
      <c r="J161" s="74"/>
      <c r="K161"/>
      <c r="L161"/>
      <c r="M161"/>
    </row>
    <row r="162" spans="5:13">
      <c r="E162"/>
      <c r="G162"/>
      <c r="I162"/>
      <c r="J162" s="74"/>
      <c r="K162"/>
      <c r="L162"/>
      <c r="M162"/>
    </row>
    <row r="163" spans="5:13">
      <c r="E163"/>
      <c r="G163"/>
      <c r="I163"/>
      <c r="J163" s="74"/>
      <c r="K163"/>
      <c r="L163"/>
      <c r="M163"/>
    </row>
    <row r="164" spans="5:13">
      <c r="E164"/>
      <c r="G164"/>
      <c r="I164"/>
      <c r="J164" s="74"/>
      <c r="K164"/>
      <c r="L164"/>
      <c r="M164"/>
    </row>
    <row r="165" spans="5:13">
      <c r="E165"/>
      <c r="G165"/>
      <c r="I165"/>
      <c r="J165" s="74"/>
      <c r="K165"/>
      <c r="L165"/>
      <c r="M165"/>
    </row>
    <row r="166" spans="5:13">
      <c r="E166"/>
      <c r="G166"/>
      <c r="I166"/>
      <c r="J166" s="74"/>
      <c r="K166"/>
      <c r="L166"/>
      <c r="M166"/>
    </row>
    <row r="167" spans="5:13">
      <c r="E167"/>
      <c r="G167"/>
      <c r="I167"/>
      <c r="J167" s="74"/>
      <c r="K167"/>
      <c r="L167"/>
      <c r="M167"/>
    </row>
    <row r="168" spans="5:13">
      <c r="E168"/>
      <c r="G168"/>
      <c r="I168"/>
      <c r="J168" s="74"/>
      <c r="K168"/>
      <c r="L168"/>
      <c r="M168"/>
    </row>
    <row r="169" spans="5:13">
      <c r="E169"/>
      <c r="G169"/>
      <c r="I169"/>
      <c r="J169" s="74"/>
      <c r="K169"/>
      <c r="L169"/>
      <c r="M169"/>
    </row>
    <row r="170" spans="5:13">
      <c r="E170"/>
      <c r="G170"/>
      <c r="I170"/>
      <c r="J170" s="74"/>
      <c r="K170"/>
      <c r="L170"/>
      <c r="M170"/>
    </row>
    <row r="171" spans="5:13">
      <c r="E171"/>
      <c r="G171"/>
      <c r="I171"/>
      <c r="J171" s="74"/>
      <c r="K171"/>
      <c r="L171"/>
      <c r="M171"/>
    </row>
    <row r="172" spans="5:13">
      <c r="E172"/>
      <c r="G172"/>
      <c r="I172"/>
      <c r="J172" s="74"/>
      <c r="K172"/>
      <c r="L172"/>
      <c r="M172"/>
    </row>
    <row r="173" spans="5:13">
      <c r="E173"/>
      <c r="G173"/>
      <c r="I173"/>
      <c r="J173" s="74"/>
      <c r="K173"/>
      <c r="L173"/>
      <c r="M173"/>
    </row>
    <row r="174" spans="5:13">
      <c r="E174"/>
      <c r="G174"/>
      <c r="I174"/>
      <c r="J174" s="74"/>
      <c r="K174"/>
      <c r="L174"/>
      <c r="M174"/>
    </row>
    <row r="175" spans="5:13">
      <c r="E175"/>
      <c r="G175"/>
      <c r="I175"/>
      <c r="J175" s="74"/>
      <c r="K175"/>
      <c r="L175"/>
      <c r="M175"/>
    </row>
    <row r="176" spans="5:13">
      <c r="E176"/>
      <c r="G176"/>
      <c r="I176"/>
      <c r="J176" s="74"/>
      <c r="K176"/>
      <c r="L176"/>
      <c r="M176"/>
    </row>
    <row r="177" spans="5:13">
      <c r="E177"/>
      <c r="G177"/>
      <c r="I177"/>
      <c r="J177" s="74"/>
      <c r="K177"/>
      <c r="L177"/>
      <c r="M177"/>
    </row>
    <row r="178" spans="5:13">
      <c r="E178"/>
      <c r="G178"/>
      <c r="I178"/>
      <c r="J178" s="74"/>
      <c r="K178"/>
      <c r="L178"/>
      <c r="M178"/>
    </row>
    <row r="179" spans="5:13">
      <c r="E179"/>
      <c r="G179"/>
      <c r="I179"/>
      <c r="J179" s="74"/>
      <c r="K179"/>
      <c r="L179"/>
      <c r="M179"/>
    </row>
    <row r="180" spans="5:13">
      <c r="E180"/>
      <c r="G180"/>
      <c r="I180"/>
      <c r="J180" s="74"/>
      <c r="K180"/>
      <c r="L180"/>
      <c r="M180"/>
    </row>
  </sheetData>
  <mergeCells count="50">
    <mergeCell ref="D56:L56"/>
    <mergeCell ref="M56:N56"/>
    <mergeCell ref="M51:N51"/>
    <mergeCell ref="A1:Q1"/>
    <mergeCell ref="A2:Q2"/>
    <mergeCell ref="A3:Q3"/>
    <mergeCell ref="P4:Q7"/>
    <mergeCell ref="P8:P9"/>
    <mergeCell ref="Q8:Q9"/>
    <mergeCell ref="K8:M8"/>
    <mergeCell ref="L5:O5"/>
    <mergeCell ref="C5:D5"/>
    <mergeCell ref="E5:K5"/>
    <mergeCell ref="A8:B9"/>
    <mergeCell ref="L6:O6"/>
    <mergeCell ref="C7:D7"/>
    <mergeCell ref="D15:L15"/>
    <mergeCell ref="M29:N29"/>
    <mergeCell ref="E8:E9"/>
    <mergeCell ref="M21:N21"/>
    <mergeCell ref="D46:L46"/>
    <mergeCell ref="M46:N46"/>
    <mergeCell ref="D21:L21"/>
    <mergeCell ref="M15:N15"/>
    <mergeCell ref="N8:N9"/>
    <mergeCell ref="H8:J8"/>
    <mergeCell ref="F8:F9"/>
    <mergeCell ref="D8:D9"/>
    <mergeCell ref="D29:L29"/>
    <mergeCell ref="M96:N96"/>
    <mergeCell ref="D96:L96"/>
    <mergeCell ref="D60:L60"/>
    <mergeCell ref="M94:N94"/>
    <mergeCell ref="D94:L94"/>
    <mergeCell ref="D88:L88"/>
    <mergeCell ref="D65:L65"/>
    <mergeCell ref="M65:N65"/>
    <mergeCell ref="M88:N88"/>
    <mergeCell ref="M60:N60"/>
    <mergeCell ref="D69:L69"/>
    <mergeCell ref="M69:N69"/>
    <mergeCell ref="C8:C9"/>
    <mergeCell ref="E6:K6"/>
    <mergeCell ref="G8:G9"/>
    <mergeCell ref="L4:O4"/>
    <mergeCell ref="E4:K4"/>
    <mergeCell ref="C4:D4"/>
    <mergeCell ref="C6:D6"/>
    <mergeCell ref="O8:O9"/>
    <mergeCell ref="E7:K7"/>
  </mergeCells>
  <phoneticPr fontId="8" type="noConversion"/>
  <printOptions horizontalCentered="1" verticalCentered="1"/>
  <pageMargins left="0.19685039370078741" right="0.19685039370078741" top="0.35433070866141736" bottom="0.35433070866141736" header="0" footer="0.19685039370078741"/>
  <pageSetup paperSize="9" scale="40" fitToHeight="3" orientation="landscape" r:id="rId1"/>
  <ignoredErrors>
    <ignoredError sqref="K40:L40 P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5"/>
  <sheetViews>
    <sheetView view="pageBreakPreview" topLeftCell="A7" workbookViewId="0">
      <selection activeCell="F36" sqref="F36"/>
    </sheetView>
  </sheetViews>
  <sheetFormatPr defaultColWidth="14.7109375" defaultRowHeight="12.75"/>
  <cols>
    <col min="1" max="1" width="5.7109375" style="3" customWidth="1"/>
    <col min="2" max="2" width="38.85546875" style="2" bestFit="1" customWidth="1"/>
    <col min="3" max="3" width="17.5703125" style="2" customWidth="1"/>
    <col min="4" max="4" width="12.7109375" style="2" customWidth="1"/>
    <col min="5" max="5" width="10.7109375" style="2" customWidth="1"/>
    <col min="6" max="6" width="14.7109375" style="2" customWidth="1"/>
    <col min="7" max="7" width="10.7109375" style="2" customWidth="1"/>
    <col min="8" max="8" width="14.7109375" style="2" customWidth="1"/>
    <col min="9" max="9" width="10.7109375" style="2" customWidth="1"/>
    <col min="10" max="10" width="13.7109375" style="2" bestFit="1" customWidth="1"/>
    <col min="11" max="12" width="9.140625" style="2" customWidth="1"/>
    <col min="13" max="13" width="10.28515625" style="2" customWidth="1"/>
    <col min="14" max="240" width="9.140625" style="2" customWidth="1"/>
    <col min="241" max="241" width="5.7109375" style="2" customWidth="1"/>
    <col min="242" max="242" width="30.7109375" style="2" customWidth="1"/>
    <col min="243" max="243" width="6.7109375" style="2" customWidth="1"/>
    <col min="244" max="244" width="12.42578125" style="2" customWidth="1"/>
    <col min="245" max="245" width="7.7109375" style="2" customWidth="1"/>
    <col min="246" max="246" width="14.7109375" style="2" customWidth="1"/>
    <col min="247" max="247" width="7.7109375" style="2" customWidth="1"/>
    <col min="248" max="248" width="14.7109375" style="2" customWidth="1"/>
    <col min="249" max="249" width="7.7109375" style="2" customWidth="1"/>
    <col min="250" max="250" width="14.7109375" style="2" customWidth="1"/>
    <col min="251" max="251" width="7.7109375" style="2" customWidth="1"/>
    <col min="252" max="252" width="14.7109375" style="2" customWidth="1"/>
    <col min="253" max="253" width="7.7109375" style="2" customWidth="1"/>
    <col min="254" max="254" width="14.7109375" style="2" customWidth="1"/>
    <col min="255" max="255" width="7.7109375" style="2" customWidth="1"/>
    <col min="256" max="16384" width="14.7109375" style="2"/>
  </cols>
  <sheetData>
    <row r="2" spans="1:13" ht="66" customHeight="1">
      <c r="A2" s="194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</row>
    <row r="3" spans="1:13" ht="21" customHeight="1">
      <c r="A3" s="197" t="str">
        <f>ORÇAMENTO!$A$2</f>
        <v xml:space="preserve"> UNIDADE DE GERENCIAMENTO DE PROJETOS - UGP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9"/>
    </row>
    <row r="4" spans="1:13" ht="15.75" thickBot="1">
      <c r="A4" s="223" t="s">
        <v>211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5"/>
    </row>
    <row r="5" spans="1:13" ht="15" customHeight="1">
      <c r="A5" s="228" t="str">
        <f>ORÇAMENTO!C4</f>
        <v>Identificação do projeto: PRAÇA DOS ESPORTES - QUADRA CERCADA</v>
      </c>
      <c r="B5" s="228"/>
      <c r="C5" s="228"/>
      <c r="D5" s="226" t="str">
        <f>ORÇAMENTO!E4</f>
        <v>Data de elaboração: FEVEREIRO/2015</v>
      </c>
      <c r="E5" s="226"/>
      <c r="F5" s="226"/>
      <c r="G5" s="226"/>
      <c r="H5" s="226"/>
      <c r="I5" s="226"/>
      <c r="J5" s="226" t="str">
        <f>ORÇAMENTO!L4</f>
        <v>Autor: Arq. Kaiser Garcia Fontoura</v>
      </c>
      <c r="K5" s="226"/>
      <c r="L5" s="226"/>
      <c r="M5" s="226"/>
    </row>
    <row r="6" spans="1:13" ht="15" customHeight="1">
      <c r="A6" s="177" t="str">
        <f>ORÇAMENTO!C5</f>
        <v>Endereço: PRAÇA ARATIBA - BALNEÁRIO DOS PRAZERES</v>
      </c>
      <c r="B6" s="177"/>
      <c r="C6" s="177"/>
      <c r="D6" s="175" t="str">
        <f>ORÇAMENTO!E5</f>
        <v>Data base SINAPI: Fevereiro/2014</v>
      </c>
      <c r="E6" s="175"/>
      <c r="F6" s="175"/>
      <c r="G6" s="175"/>
      <c r="H6" s="175"/>
      <c r="I6" s="175"/>
      <c r="J6" s="175" t="str">
        <f>ORÇAMENTO!L5</f>
        <v>Revisor: Eng. Karen Almeida</v>
      </c>
      <c r="K6" s="175"/>
      <c r="L6" s="175"/>
      <c r="M6" s="175"/>
    </row>
    <row r="7" spans="1:13" ht="15" customHeight="1">
      <c r="A7" s="177" t="str">
        <f>ORÇAMENTO!C6</f>
        <v>Tipo de intervenção: INSTALAÇÃO DE QUADRA CERCADA POR ALAMBRADO METÁLICO</v>
      </c>
      <c r="B7" s="177"/>
      <c r="C7" s="177"/>
      <c r="D7" s="175" t="str">
        <f>ORÇAMENTO!E6</f>
        <v>ART/ RRT: 2217569</v>
      </c>
      <c r="E7" s="175"/>
      <c r="F7" s="175"/>
      <c r="G7" s="175"/>
      <c r="H7" s="175"/>
      <c r="I7" s="175"/>
      <c r="J7" s="175"/>
      <c r="K7" s="175"/>
      <c r="L7" s="175"/>
      <c r="M7" s="175"/>
    </row>
    <row r="8" spans="1:13" ht="15.75" customHeight="1" thickBot="1">
      <c r="A8" s="229" t="str">
        <f>ORÇAMENTO!C7</f>
        <v>Número de contrato: 386.299-53</v>
      </c>
      <c r="B8" s="229"/>
      <c r="C8" s="229"/>
      <c r="D8" s="227" t="str">
        <f>ORÇAMENTO!E7</f>
        <v>Area da Intervenção: 1059,00 m²</v>
      </c>
      <c r="E8" s="227"/>
      <c r="F8" s="227"/>
      <c r="G8" s="227"/>
      <c r="H8" s="227"/>
      <c r="I8" s="227"/>
      <c r="J8" s="12" t="s">
        <v>16</v>
      </c>
      <c r="K8" s="13">
        <f>ORÇAMENTO!M7</f>
        <v>0.25</v>
      </c>
      <c r="L8" s="13"/>
      <c r="M8" s="13"/>
    </row>
    <row r="9" spans="1:13" s="20" customFormat="1" ht="15" customHeight="1">
      <c r="A9" s="220" t="s">
        <v>0</v>
      </c>
      <c r="B9" s="219" t="s">
        <v>21</v>
      </c>
      <c r="C9" s="219" t="s">
        <v>5</v>
      </c>
      <c r="D9" s="219" t="s">
        <v>22</v>
      </c>
      <c r="E9" s="219" t="s">
        <v>18</v>
      </c>
      <c r="F9" s="219"/>
      <c r="G9" s="219" t="s">
        <v>19</v>
      </c>
      <c r="H9" s="219"/>
      <c r="I9" s="219" t="s">
        <v>20</v>
      </c>
      <c r="J9" s="219"/>
      <c r="K9" s="219" t="s">
        <v>7</v>
      </c>
      <c r="L9" s="219"/>
      <c r="M9" s="231" t="s">
        <v>6</v>
      </c>
    </row>
    <row r="10" spans="1:13" s="20" customFormat="1" ht="13.5" thickBot="1">
      <c r="A10" s="221"/>
      <c r="B10" s="222"/>
      <c r="C10" s="222"/>
      <c r="D10" s="222"/>
      <c r="E10" s="25" t="s">
        <v>6</v>
      </c>
      <c r="F10" s="25" t="s">
        <v>8</v>
      </c>
      <c r="G10" s="25" t="s">
        <v>6</v>
      </c>
      <c r="H10" s="25" t="s">
        <v>8</v>
      </c>
      <c r="I10" s="25" t="s">
        <v>6</v>
      </c>
      <c r="J10" s="25" t="s">
        <v>8</v>
      </c>
      <c r="K10" s="222"/>
      <c r="L10" s="222"/>
      <c r="M10" s="232"/>
    </row>
    <row r="11" spans="1:13">
      <c r="A11" s="237">
        <f>ORÇAMENTO!C10</f>
        <v>2</v>
      </c>
      <c r="B11" s="237" t="str">
        <f>ORÇAMENTO!D10</f>
        <v>IMPLANTAÇÃO E ADMINISTRAÇÃO</v>
      </c>
      <c r="C11" s="239">
        <f>ORÇAMENTO!O15</f>
        <v>7.3471679809686552E-2</v>
      </c>
      <c r="D11" s="236">
        <f>ORÇAMENTO!P15</f>
        <v>16853.05</v>
      </c>
      <c r="E11" s="235">
        <v>1</v>
      </c>
      <c r="F11" s="150">
        <f>D11*E11</f>
        <v>16853.05</v>
      </c>
      <c r="G11" s="235">
        <v>0</v>
      </c>
      <c r="H11" s="150">
        <f>G11*D11</f>
        <v>0</v>
      </c>
      <c r="I11" s="235">
        <f>1-(E11+G11)</f>
        <v>0</v>
      </c>
      <c r="J11" s="150">
        <f>D11*I11</f>
        <v>0</v>
      </c>
      <c r="K11" s="233">
        <f>F11+H11+J11</f>
        <v>16853.05</v>
      </c>
      <c r="L11" s="234"/>
      <c r="M11" s="45"/>
    </row>
    <row r="12" spans="1:13">
      <c r="A12" s="211"/>
      <c r="B12" s="211"/>
      <c r="C12" s="212"/>
      <c r="D12" s="213"/>
      <c r="E12" s="216"/>
      <c r="F12" s="22">
        <f>E11</f>
        <v>1</v>
      </c>
      <c r="G12" s="216"/>
      <c r="H12" s="22">
        <f>F12+G11</f>
        <v>1</v>
      </c>
      <c r="I12" s="216"/>
      <c r="J12" s="22">
        <f>I11+H12</f>
        <v>1</v>
      </c>
      <c r="K12" s="218"/>
      <c r="L12" s="218"/>
      <c r="M12" s="37"/>
    </row>
    <row r="13" spans="1:13">
      <c r="A13" s="211">
        <f>ORÇAMENTO!C16</f>
        <v>3</v>
      </c>
      <c r="B13" s="240" t="str">
        <f>ORÇAMENTO!D16</f>
        <v>MOVIMENTO DE CARGA E SERVIÇOS CORRELATOS</v>
      </c>
      <c r="C13" s="212">
        <f>ORÇAMENTO!O21</f>
        <v>2.2443563253858483E-2</v>
      </c>
      <c r="D13" s="213">
        <f>ORÇAMENTO!P21</f>
        <v>5148.1399999999994</v>
      </c>
      <c r="E13" s="214">
        <v>1</v>
      </c>
      <c r="F13" s="24">
        <f>D13*E13</f>
        <v>5148.1399999999994</v>
      </c>
      <c r="G13" s="216">
        <v>0</v>
      </c>
      <c r="H13" s="23">
        <f>G13*D13</f>
        <v>0</v>
      </c>
      <c r="I13" s="214">
        <f>1-(E13+G13)</f>
        <v>0</v>
      </c>
      <c r="J13" s="23">
        <f>D13*I13</f>
        <v>0</v>
      </c>
      <c r="K13" s="217">
        <f>F13+H13+J13</f>
        <v>5148.1399999999994</v>
      </c>
      <c r="L13" s="218"/>
      <c r="M13" s="37"/>
    </row>
    <row r="14" spans="1:13">
      <c r="A14" s="211"/>
      <c r="B14" s="240"/>
      <c r="C14" s="212"/>
      <c r="D14" s="213"/>
      <c r="E14" s="235"/>
      <c r="F14" s="22">
        <f>E13</f>
        <v>1</v>
      </c>
      <c r="G14" s="216"/>
      <c r="H14" s="22">
        <f>F14+G13</f>
        <v>1</v>
      </c>
      <c r="I14" s="235"/>
      <c r="J14" s="22">
        <f>I13+H14</f>
        <v>1</v>
      </c>
      <c r="K14" s="218"/>
      <c r="L14" s="218"/>
      <c r="M14" s="37"/>
    </row>
    <row r="15" spans="1:13" ht="12.75" customHeight="1">
      <c r="A15" s="237">
        <f>ORÇAMENTO!C22</f>
        <v>4</v>
      </c>
      <c r="B15" s="238" t="str">
        <f>ORÇAMENTO!D22</f>
        <v>REVESTIMENTO DE PISOS</v>
      </c>
      <c r="C15" s="212">
        <f>ORÇAMENTO!O29</f>
        <v>8.7178360180446932E-2</v>
      </c>
      <c r="D15" s="236">
        <f>ORÇAMENTO!P29</f>
        <v>19997.11</v>
      </c>
      <c r="E15" s="214">
        <v>0</v>
      </c>
      <c r="F15" s="44">
        <f>D15*E15</f>
        <v>0</v>
      </c>
      <c r="G15" s="235">
        <v>0.5</v>
      </c>
      <c r="H15" s="44">
        <f>G15*D15</f>
        <v>9998.5550000000003</v>
      </c>
      <c r="I15" s="214">
        <f>1-(E15+G15)</f>
        <v>0.5</v>
      </c>
      <c r="J15" s="44">
        <f>D15*I15</f>
        <v>9998.5550000000003</v>
      </c>
      <c r="K15" s="233">
        <f>F15+H15+J15</f>
        <v>19997.11</v>
      </c>
      <c r="L15" s="234"/>
      <c r="M15" s="45"/>
    </row>
    <row r="16" spans="1:13">
      <c r="A16" s="211"/>
      <c r="B16" s="237"/>
      <c r="C16" s="212"/>
      <c r="D16" s="213"/>
      <c r="E16" s="235"/>
      <c r="F16" s="22">
        <f>E15</f>
        <v>0</v>
      </c>
      <c r="G16" s="216"/>
      <c r="H16" s="22">
        <f>F16+G15</f>
        <v>0.5</v>
      </c>
      <c r="I16" s="235"/>
      <c r="J16" s="22">
        <f>I15+H16</f>
        <v>1</v>
      </c>
      <c r="K16" s="218"/>
      <c r="L16" s="218"/>
      <c r="M16" s="37"/>
    </row>
    <row r="17" spans="1:13">
      <c r="A17" s="211">
        <f>ORÇAMENTO!C30</f>
        <v>5</v>
      </c>
      <c r="B17" s="241" t="str">
        <f>ORÇAMENTO!D30</f>
        <v>EXECUÇÃO DE RADIER</v>
      </c>
      <c r="C17" s="212">
        <f>ORÇAMENTO!O46</f>
        <v>0.43508572048374594</v>
      </c>
      <c r="D17" s="213">
        <f>ORÇAMENTO!P46</f>
        <v>99800.650000000009</v>
      </c>
      <c r="E17" s="214">
        <v>0.2</v>
      </c>
      <c r="F17" s="24">
        <f>D17*E17</f>
        <v>19960.130000000005</v>
      </c>
      <c r="G17" s="216">
        <v>0.8</v>
      </c>
      <c r="H17" s="23">
        <f>G17*D17</f>
        <v>79840.520000000019</v>
      </c>
      <c r="I17" s="214">
        <f>1-(E17+G17)</f>
        <v>0</v>
      </c>
      <c r="J17" s="23">
        <f>D17*I17</f>
        <v>0</v>
      </c>
      <c r="K17" s="217">
        <f>F17+H17+J17</f>
        <v>99800.650000000023</v>
      </c>
      <c r="L17" s="218"/>
      <c r="M17" s="37"/>
    </row>
    <row r="18" spans="1:13">
      <c r="A18" s="211"/>
      <c r="B18" s="242"/>
      <c r="C18" s="212"/>
      <c r="D18" s="213"/>
      <c r="E18" s="235"/>
      <c r="F18" s="22">
        <f>E17</f>
        <v>0.2</v>
      </c>
      <c r="G18" s="216"/>
      <c r="H18" s="22">
        <f>F18+G17</f>
        <v>1</v>
      </c>
      <c r="I18" s="235"/>
      <c r="J18" s="22">
        <f>I17+H18</f>
        <v>1</v>
      </c>
      <c r="K18" s="218"/>
      <c r="L18" s="218"/>
      <c r="M18" s="37"/>
    </row>
    <row r="19" spans="1:13">
      <c r="A19" s="211">
        <f>ORÇAMENTO!C47</f>
        <v>6</v>
      </c>
      <c r="B19" s="211" t="str">
        <f>ORÇAMENTO!D47</f>
        <v>PINTURA DE QUADRA POLIESPORTIVA</v>
      </c>
      <c r="C19" s="212">
        <f>ORÇAMENTO!O51</f>
        <v>2.9644185030027265E-2</v>
      </c>
      <c r="D19" s="213">
        <f>ORÇAMENTO!P51</f>
        <v>6799.8300000000008</v>
      </c>
      <c r="E19" s="214">
        <v>0</v>
      </c>
      <c r="F19" s="24">
        <f>D19*E19</f>
        <v>0</v>
      </c>
      <c r="G19" s="216">
        <v>0</v>
      </c>
      <c r="H19" s="23">
        <f>G19*D19</f>
        <v>0</v>
      </c>
      <c r="I19" s="214">
        <f>1-(E19+G19)</f>
        <v>1</v>
      </c>
      <c r="J19" s="23">
        <f>D19*I19</f>
        <v>6799.8300000000008</v>
      </c>
      <c r="K19" s="217">
        <f>F19+H19+J19</f>
        <v>6799.8300000000008</v>
      </c>
      <c r="L19" s="218"/>
      <c r="M19" s="37"/>
    </row>
    <row r="20" spans="1:13">
      <c r="A20" s="211"/>
      <c r="B20" s="211"/>
      <c r="C20" s="212"/>
      <c r="D20" s="213"/>
      <c r="E20" s="235"/>
      <c r="F20" s="22">
        <f>E19</f>
        <v>0</v>
      </c>
      <c r="G20" s="216"/>
      <c r="H20" s="22">
        <f>F20+G19</f>
        <v>0</v>
      </c>
      <c r="I20" s="235"/>
      <c r="J20" s="22">
        <f>I19+H20</f>
        <v>1</v>
      </c>
      <c r="K20" s="218"/>
      <c r="L20" s="218"/>
      <c r="M20" s="37"/>
    </row>
    <row r="21" spans="1:13">
      <c r="A21" s="211">
        <f>ORÇAMENTO!C51</f>
        <v>7</v>
      </c>
      <c r="B21" s="240" t="str">
        <f>ORÇAMENTO!D51</f>
        <v>FLOREIRAS EM ALVENARIA</v>
      </c>
      <c r="C21" s="212">
        <f>ORÇAMENTO!O56</f>
        <v>6.6236356031726708E-3</v>
      </c>
      <c r="D21" s="213">
        <f>ORÇAMENTO!P56</f>
        <v>1519.3400000000001</v>
      </c>
      <c r="E21" s="214">
        <v>0</v>
      </c>
      <c r="F21" s="24">
        <f>D21*E21</f>
        <v>0</v>
      </c>
      <c r="G21" s="216">
        <v>0.5</v>
      </c>
      <c r="H21" s="23">
        <f>G21*D21</f>
        <v>759.67000000000007</v>
      </c>
      <c r="I21" s="214">
        <f>1-(E21+G21)</f>
        <v>0.5</v>
      </c>
      <c r="J21" s="23">
        <f>D21*I21</f>
        <v>759.67000000000007</v>
      </c>
      <c r="K21" s="217">
        <f>F21+H21+J21</f>
        <v>1519.3400000000001</v>
      </c>
      <c r="L21" s="218"/>
      <c r="M21" s="37"/>
    </row>
    <row r="22" spans="1:13">
      <c r="A22" s="211"/>
      <c r="B22" s="240"/>
      <c r="C22" s="212"/>
      <c r="D22" s="213"/>
      <c r="E22" s="235"/>
      <c r="F22" s="22">
        <f>E21</f>
        <v>0</v>
      </c>
      <c r="G22" s="216"/>
      <c r="H22" s="22">
        <f>F22+G21</f>
        <v>0.5</v>
      </c>
      <c r="I22" s="235"/>
      <c r="J22" s="22">
        <f>I21+H22</f>
        <v>1</v>
      </c>
      <c r="K22" s="218"/>
      <c r="L22" s="218"/>
      <c r="M22" s="37"/>
    </row>
    <row r="23" spans="1:13">
      <c r="A23" s="211">
        <f>ORÇAMENTO!C57</f>
        <v>8</v>
      </c>
      <c r="B23" s="211" t="str">
        <f>ORÇAMENTO!D57</f>
        <v>ALAMBRADO METÁLICO</v>
      </c>
      <c r="C23" s="212">
        <f>ORÇAMENTO!O60</f>
        <v>0.19227956316283112</v>
      </c>
      <c r="D23" s="213">
        <f>ORÇAMENTO!P60</f>
        <v>44105.39</v>
      </c>
      <c r="E23" s="214">
        <v>0</v>
      </c>
      <c r="F23" s="24">
        <f>D23*E23</f>
        <v>0</v>
      </c>
      <c r="G23" s="216">
        <v>0</v>
      </c>
      <c r="H23" s="23">
        <f>G23*D23</f>
        <v>0</v>
      </c>
      <c r="I23" s="214">
        <f>1-(E23+G23)</f>
        <v>1</v>
      </c>
      <c r="J23" s="23">
        <f>D23*I23</f>
        <v>44105.39</v>
      </c>
      <c r="K23" s="217">
        <f>F23+H23+J23</f>
        <v>44105.39</v>
      </c>
      <c r="L23" s="218"/>
      <c r="M23" s="37"/>
    </row>
    <row r="24" spans="1:13" ht="13.5" thickBot="1">
      <c r="A24" s="211"/>
      <c r="B24" s="211"/>
      <c r="C24" s="212"/>
      <c r="D24" s="213"/>
      <c r="E24" s="215"/>
      <c r="F24" s="22">
        <f>E23</f>
        <v>0</v>
      </c>
      <c r="G24" s="216"/>
      <c r="H24" s="22">
        <f>F24+G23</f>
        <v>0</v>
      </c>
      <c r="I24" s="215"/>
      <c r="J24" s="22">
        <f>I23+H24</f>
        <v>1</v>
      </c>
      <c r="K24" s="218"/>
      <c r="L24" s="218"/>
      <c r="M24" s="37"/>
    </row>
    <row r="25" spans="1:13">
      <c r="A25" s="211">
        <f>ORÇAMENTO!C61</f>
        <v>9</v>
      </c>
      <c r="B25" s="211" t="str">
        <f>ORÇAMENTO!D61</f>
        <v>KIT BÁSICO  -  MATERIAIS ESPORTIVOS</v>
      </c>
      <c r="C25" s="212">
        <f>ORÇAMENTO!O65</f>
        <v>2.2152999382077671E-2</v>
      </c>
      <c r="D25" s="213">
        <f>ORÇAMENTO!P65</f>
        <v>5081.49</v>
      </c>
      <c r="E25" s="214">
        <v>0</v>
      </c>
      <c r="F25" s="24">
        <f>D25*E25</f>
        <v>0</v>
      </c>
      <c r="G25" s="216">
        <v>0</v>
      </c>
      <c r="H25" s="23">
        <f>G25*D25</f>
        <v>0</v>
      </c>
      <c r="I25" s="214">
        <f>1-(E25+G25)</f>
        <v>1</v>
      </c>
      <c r="J25" s="23">
        <f>D25*I25</f>
        <v>5081.49</v>
      </c>
      <c r="K25" s="217">
        <f>F25+H25+J25</f>
        <v>5081.49</v>
      </c>
      <c r="L25" s="218"/>
      <c r="M25" s="37"/>
    </row>
    <row r="26" spans="1:13" ht="13.5" thickBot="1">
      <c r="A26" s="211"/>
      <c r="B26" s="211"/>
      <c r="C26" s="212"/>
      <c r="D26" s="213"/>
      <c r="E26" s="215"/>
      <c r="F26" s="22">
        <f>E25</f>
        <v>0</v>
      </c>
      <c r="G26" s="216"/>
      <c r="H26" s="22">
        <f>F26+G25</f>
        <v>0</v>
      </c>
      <c r="I26" s="215"/>
      <c r="J26" s="22">
        <f>I25+H26</f>
        <v>1</v>
      </c>
      <c r="K26" s="218"/>
      <c r="L26" s="218"/>
      <c r="M26" s="37"/>
    </row>
    <row r="27" spans="1:13">
      <c r="A27" s="211">
        <f>ORÇAMENTO!C66</f>
        <v>10</v>
      </c>
      <c r="B27" s="211" t="str">
        <f>ORÇAMENTO!D66</f>
        <v xml:space="preserve">CORRIMÃO </v>
      </c>
      <c r="C27" s="212">
        <f>ORÇAMENTO!O69</f>
        <v>3.3550209219066324E-3</v>
      </c>
      <c r="D27" s="213">
        <f>ORÇAMENTO!P69</f>
        <v>769.57999999999993</v>
      </c>
      <c r="E27" s="214">
        <v>0</v>
      </c>
      <c r="F27" s="24">
        <f>D27*E27</f>
        <v>0</v>
      </c>
      <c r="G27" s="216">
        <v>0</v>
      </c>
      <c r="H27" s="23">
        <f>G27*D27</f>
        <v>0</v>
      </c>
      <c r="I27" s="214">
        <f>1-(E27+G27)</f>
        <v>1</v>
      </c>
      <c r="J27" s="23">
        <f>D27*I27</f>
        <v>769.57999999999993</v>
      </c>
      <c r="K27" s="217">
        <f>F27+H27+J27</f>
        <v>769.57999999999993</v>
      </c>
      <c r="L27" s="218"/>
      <c r="M27" s="37"/>
    </row>
    <row r="28" spans="1:13" ht="13.5" thickBot="1">
      <c r="A28" s="211"/>
      <c r="B28" s="211"/>
      <c r="C28" s="212"/>
      <c r="D28" s="213"/>
      <c r="E28" s="215"/>
      <c r="F28" s="22">
        <f>E27</f>
        <v>0</v>
      </c>
      <c r="G28" s="216"/>
      <c r="H28" s="22">
        <f>F28+G27</f>
        <v>0</v>
      </c>
      <c r="I28" s="215"/>
      <c r="J28" s="22">
        <f>I27+H28</f>
        <v>1</v>
      </c>
      <c r="K28" s="218"/>
      <c r="L28" s="218"/>
      <c r="M28" s="37"/>
    </row>
    <row r="29" spans="1:13" s="21" customFormat="1" ht="20.100000000000001" customHeight="1">
      <c r="A29" s="211">
        <f>ORÇAMENTO!C70</f>
        <v>11</v>
      </c>
      <c r="B29" s="211" t="str">
        <f>ORÇAMENTO!D70</f>
        <v>INSTALAÇÕES ELETRICAS</v>
      </c>
      <c r="C29" s="212">
        <f>ORÇAMENTO!O88</f>
        <v>9.6571616604960178E-2</v>
      </c>
      <c r="D29" s="213">
        <f>ORÇAMENTO!P88</f>
        <v>22151.75</v>
      </c>
      <c r="E29" s="214">
        <v>0.5</v>
      </c>
      <c r="F29" s="24">
        <f>D29*E29</f>
        <v>11075.875</v>
      </c>
      <c r="G29" s="216">
        <v>0</v>
      </c>
      <c r="H29" s="23">
        <f>G29*D29</f>
        <v>0</v>
      </c>
      <c r="I29" s="214">
        <f>1-(E29+G29)</f>
        <v>0.5</v>
      </c>
      <c r="J29" s="23">
        <f>D29*I29</f>
        <v>11075.875</v>
      </c>
      <c r="K29" s="217">
        <f>F29+H29+J29</f>
        <v>22151.75</v>
      </c>
      <c r="L29" s="218"/>
      <c r="M29" s="37"/>
    </row>
    <row r="30" spans="1:13" ht="13.5" thickBot="1">
      <c r="A30" s="211"/>
      <c r="B30" s="211"/>
      <c r="C30" s="212"/>
      <c r="D30" s="213"/>
      <c r="E30" s="215"/>
      <c r="F30" s="22">
        <f>E29</f>
        <v>0.5</v>
      </c>
      <c r="G30" s="216"/>
      <c r="H30" s="22">
        <f>F30+G29</f>
        <v>0.5</v>
      </c>
      <c r="I30" s="215"/>
      <c r="J30" s="22">
        <f>I29+H30</f>
        <v>1</v>
      </c>
      <c r="K30" s="218"/>
      <c r="L30" s="218"/>
      <c r="M30" s="37"/>
    </row>
    <row r="31" spans="1:13">
      <c r="A31" s="211">
        <f>ORÇAMENTO!C89</f>
        <v>12</v>
      </c>
      <c r="B31" s="211" t="str">
        <f>ORÇAMENTO!D89</f>
        <v>SERVIÇOS COMPLEMENTARES</v>
      </c>
      <c r="C31" s="212">
        <f>ORÇAMENTO!O94</f>
        <v>3.1193655567286614E-2</v>
      </c>
      <c r="D31" s="213">
        <f>ORÇAMENTO!P94</f>
        <v>7155.2499999999991</v>
      </c>
      <c r="E31" s="214">
        <v>0</v>
      </c>
      <c r="F31" s="24">
        <f>D31*E31</f>
        <v>0</v>
      </c>
      <c r="G31" s="216">
        <v>0.2</v>
      </c>
      <c r="H31" s="23">
        <f>G31*D31</f>
        <v>1431.05</v>
      </c>
      <c r="I31" s="214">
        <f>1-(E31+G31)</f>
        <v>0.8</v>
      </c>
      <c r="J31" s="23">
        <f>D31*I31</f>
        <v>5724.2</v>
      </c>
      <c r="K31" s="217">
        <f>F31+H31+J31</f>
        <v>7155.25</v>
      </c>
      <c r="L31" s="218"/>
      <c r="M31" s="37"/>
    </row>
    <row r="32" spans="1:13" ht="13.5" thickBot="1">
      <c r="A32" s="211"/>
      <c r="B32" s="211"/>
      <c r="C32" s="212"/>
      <c r="D32" s="213"/>
      <c r="E32" s="215"/>
      <c r="F32" s="22">
        <f>E31</f>
        <v>0</v>
      </c>
      <c r="G32" s="216"/>
      <c r="H32" s="22">
        <f>F32+G31</f>
        <v>0.2</v>
      </c>
      <c r="I32" s="215"/>
      <c r="J32" s="22">
        <f>I31+H32</f>
        <v>1</v>
      </c>
      <c r="K32" s="218"/>
      <c r="L32" s="218"/>
      <c r="M32" s="37"/>
    </row>
    <row r="33" spans="1:13">
      <c r="A33" s="38"/>
      <c r="B33" s="39" t="s">
        <v>23</v>
      </c>
      <c r="C33" s="158">
        <f>SUM(C11:C32)</f>
        <v>1.0000000000000002</v>
      </c>
      <c r="D33" s="40">
        <f>SUM(D11:D32)</f>
        <v>229381.58</v>
      </c>
      <c r="E33" s="41">
        <f>F33/D33</f>
        <v>0.23121819546277433</v>
      </c>
      <c r="F33" s="42">
        <f>F11+F13+F15+F17+F19+F21+F23+F25+F29+F31+F27</f>
        <v>53037.195000000007</v>
      </c>
      <c r="G33" s="41">
        <f>H33/D33</f>
        <v>0.40120830539226393</v>
      </c>
      <c r="H33" s="42">
        <f>H11+H13+H15+H17+H19+H21+H23+H25+H29+H31+H27</f>
        <v>92029.795000000013</v>
      </c>
      <c r="I33" s="41">
        <f>J33/D33</f>
        <v>0.36757349914496185</v>
      </c>
      <c r="J33" s="42">
        <f>J11+J13+J15+J17+J19+J21+J23+J25+J29+J31+J27</f>
        <v>84314.59</v>
      </c>
      <c r="K33" s="230">
        <f>SUM(K11:L31)</f>
        <v>229381.58</v>
      </c>
      <c r="L33" s="230"/>
      <c r="M33" s="43">
        <f>E33+G33+I33</f>
        <v>1</v>
      </c>
    </row>
    <row r="35" spans="1:13">
      <c r="G35" s="70"/>
    </row>
  </sheetData>
  <mergeCells count="112">
    <mergeCell ref="I21:I22"/>
    <mergeCell ref="K21:L22"/>
    <mergeCell ref="I23:I24"/>
    <mergeCell ref="K23:L24"/>
    <mergeCell ref="A23:A24"/>
    <mergeCell ref="B23:B24"/>
    <mergeCell ref="C23:C24"/>
    <mergeCell ref="D23:D24"/>
    <mergeCell ref="E23:E24"/>
    <mergeCell ref="G23:G24"/>
    <mergeCell ref="A21:A22"/>
    <mergeCell ref="B21:B22"/>
    <mergeCell ref="C21:C22"/>
    <mergeCell ref="D21:D22"/>
    <mergeCell ref="E21:E22"/>
    <mergeCell ref="G21:G22"/>
    <mergeCell ref="A19:A20"/>
    <mergeCell ref="B19:B20"/>
    <mergeCell ref="C19:C20"/>
    <mergeCell ref="D19:D20"/>
    <mergeCell ref="E19:E20"/>
    <mergeCell ref="G19:G20"/>
    <mergeCell ref="I19:I20"/>
    <mergeCell ref="K19:L20"/>
    <mergeCell ref="A17:A18"/>
    <mergeCell ref="B17:B18"/>
    <mergeCell ref="C17:C18"/>
    <mergeCell ref="D17:D18"/>
    <mergeCell ref="E17:E18"/>
    <mergeCell ref="G17:G18"/>
    <mergeCell ref="A15:A16"/>
    <mergeCell ref="B15:B16"/>
    <mergeCell ref="C15:C16"/>
    <mergeCell ref="D15:D16"/>
    <mergeCell ref="E15:E16"/>
    <mergeCell ref="G15:G16"/>
    <mergeCell ref="A11:A12"/>
    <mergeCell ref="A13:A14"/>
    <mergeCell ref="C13:C14"/>
    <mergeCell ref="C11:C12"/>
    <mergeCell ref="B11:B12"/>
    <mergeCell ref="B13:B14"/>
    <mergeCell ref="K33:L33"/>
    <mergeCell ref="K9:L10"/>
    <mergeCell ref="M9:M10"/>
    <mergeCell ref="K11:L12"/>
    <mergeCell ref="K13:L14"/>
    <mergeCell ref="D9:D10"/>
    <mergeCell ref="G13:G14"/>
    <mergeCell ref="D13:D14"/>
    <mergeCell ref="I15:I16"/>
    <mergeCell ref="K15:L16"/>
    <mergeCell ref="D11:D12"/>
    <mergeCell ref="E11:E12"/>
    <mergeCell ref="G11:G12"/>
    <mergeCell ref="I11:I12"/>
    <mergeCell ref="E13:E14"/>
    <mergeCell ref="I13:I14"/>
    <mergeCell ref="I31:I32"/>
    <mergeCell ref="K31:L32"/>
    <mergeCell ref="I17:I18"/>
    <mergeCell ref="K17:L18"/>
    <mergeCell ref="I27:I28"/>
    <mergeCell ref="K27:L28"/>
    <mergeCell ref="D27:D28"/>
    <mergeCell ref="E27:E28"/>
    <mergeCell ref="A2:M2"/>
    <mergeCell ref="A3:M3"/>
    <mergeCell ref="E9:F9"/>
    <mergeCell ref="G9:H9"/>
    <mergeCell ref="I9:J9"/>
    <mergeCell ref="A9:A10"/>
    <mergeCell ref="B9:B10"/>
    <mergeCell ref="C9:C10"/>
    <mergeCell ref="J6:M6"/>
    <mergeCell ref="D7:I7"/>
    <mergeCell ref="J7:M7"/>
    <mergeCell ref="A4:M4"/>
    <mergeCell ref="D5:I5"/>
    <mergeCell ref="J5:M5"/>
    <mergeCell ref="D8:I8"/>
    <mergeCell ref="A5:C5"/>
    <mergeCell ref="A6:C6"/>
    <mergeCell ref="A7:C7"/>
    <mergeCell ref="A8:C8"/>
    <mergeCell ref="D6:I6"/>
    <mergeCell ref="I25:I26"/>
    <mergeCell ref="K25:L26"/>
    <mergeCell ref="A29:A30"/>
    <mergeCell ref="B29:B30"/>
    <mergeCell ref="C29:C30"/>
    <mergeCell ref="D29:D30"/>
    <mergeCell ref="E29:E30"/>
    <mergeCell ref="G29:G30"/>
    <mergeCell ref="I29:I30"/>
    <mergeCell ref="K29:L30"/>
    <mergeCell ref="A27:A28"/>
    <mergeCell ref="B27:B28"/>
    <mergeCell ref="C27:C28"/>
    <mergeCell ref="G27:G28"/>
    <mergeCell ref="A31:A32"/>
    <mergeCell ref="B31:B32"/>
    <mergeCell ref="C31:C32"/>
    <mergeCell ref="D31:D32"/>
    <mergeCell ref="E31:E32"/>
    <mergeCell ref="G31:G32"/>
    <mergeCell ref="A25:A26"/>
    <mergeCell ref="B25:B26"/>
    <mergeCell ref="C25:C26"/>
    <mergeCell ref="D25:D26"/>
    <mergeCell ref="E25:E26"/>
    <mergeCell ref="G25:G26"/>
  </mergeCells>
  <phoneticPr fontId="8" type="noConversion"/>
  <printOptions horizontalCentered="1" verticalCentered="1"/>
  <pageMargins left="0.23622047244094491" right="0.19685039370078741" top="0" bottom="0" header="0.19685039370078741" footer="0.19685039370078741"/>
  <pageSetup paperSize="8" scale="1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B20" sqref="B20"/>
    </sheetView>
  </sheetViews>
  <sheetFormatPr defaultRowHeight="15"/>
  <cols>
    <col min="1" max="1" width="10.42578125" customWidth="1"/>
    <col min="2" max="2" width="52.85546875" customWidth="1"/>
    <col min="5" max="5" width="15.140625" customWidth="1"/>
    <col min="6" max="6" width="12.140625" customWidth="1"/>
    <col min="7" max="7" width="15.28515625" customWidth="1"/>
  </cols>
  <sheetData>
    <row r="1" spans="1:7" ht="19.5" customHeight="1">
      <c r="A1" s="78" t="s">
        <v>151</v>
      </c>
      <c r="B1" s="79" t="s">
        <v>210</v>
      </c>
      <c r="C1" s="79"/>
      <c r="D1" s="79"/>
      <c r="E1" s="80"/>
      <c r="F1" s="80"/>
      <c r="G1" s="81" t="s">
        <v>152</v>
      </c>
    </row>
    <row r="2" spans="1:7">
      <c r="A2" s="82"/>
      <c r="B2" s="83"/>
      <c r="C2" s="83"/>
      <c r="D2" s="83"/>
      <c r="E2" s="82"/>
      <c r="F2" s="84"/>
      <c r="G2" s="84"/>
    </row>
    <row r="3" spans="1:7" ht="28.5" customHeight="1">
      <c r="A3" s="85" t="s">
        <v>153</v>
      </c>
      <c r="B3" s="85" t="s">
        <v>154</v>
      </c>
      <c r="C3" s="85" t="s">
        <v>155</v>
      </c>
      <c r="D3" s="85" t="s">
        <v>156</v>
      </c>
      <c r="E3" s="86" t="s">
        <v>157</v>
      </c>
      <c r="F3" s="87" t="s">
        <v>158</v>
      </c>
      <c r="G3" s="87" t="s">
        <v>159</v>
      </c>
    </row>
    <row r="4" spans="1:7" ht="36" customHeight="1">
      <c r="A4" s="88" t="s">
        <v>160</v>
      </c>
      <c r="B4" s="88" t="s">
        <v>161</v>
      </c>
      <c r="C4" s="88" t="s">
        <v>162</v>
      </c>
      <c r="D4" s="88" t="s">
        <v>163</v>
      </c>
      <c r="E4" s="88">
        <v>1</v>
      </c>
      <c r="F4" s="89">
        <f>ROUND(G4/E4,2)</f>
        <v>144.61000000000001</v>
      </c>
      <c r="G4" s="90">
        <f>ROUND(SUM(G5:G7),2)</f>
        <v>144.61000000000001</v>
      </c>
    </row>
    <row r="5" spans="1:7" ht="16.5" customHeight="1">
      <c r="A5" s="91" t="s">
        <v>164</v>
      </c>
      <c r="B5" s="91" t="s">
        <v>165</v>
      </c>
      <c r="C5" s="91" t="s">
        <v>166</v>
      </c>
      <c r="D5" s="91" t="s">
        <v>167</v>
      </c>
      <c r="E5" s="91">
        <v>1.5</v>
      </c>
      <c r="F5" s="91">
        <v>9.58</v>
      </c>
      <c r="G5" s="91">
        <f>E5*F5</f>
        <v>14.370000000000001</v>
      </c>
    </row>
    <row r="6" spans="1:7" ht="13.5" customHeight="1">
      <c r="A6" s="92">
        <v>6129</v>
      </c>
      <c r="B6" s="91" t="s">
        <v>168</v>
      </c>
      <c r="C6" s="91" t="s">
        <v>166</v>
      </c>
      <c r="D6" s="91" t="s">
        <v>167</v>
      </c>
      <c r="E6" s="91">
        <v>1.5</v>
      </c>
      <c r="F6" s="91">
        <v>7.36</v>
      </c>
      <c r="G6" s="91">
        <f>E6*F6</f>
        <v>11.040000000000001</v>
      </c>
    </row>
    <row r="7" spans="1:7" ht="39" customHeight="1">
      <c r="A7" s="92" t="s">
        <v>160</v>
      </c>
      <c r="B7" s="91" t="s">
        <v>161</v>
      </c>
      <c r="C7" s="91" t="s">
        <v>169</v>
      </c>
      <c r="D7" s="91" t="s">
        <v>163</v>
      </c>
      <c r="E7" s="91">
        <v>1</v>
      </c>
      <c r="F7" s="91">
        <v>119.2</v>
      </c>
      <c r="G7" s="91">
        <f>E7*F7</f>
        <v>119.2</v>
      </c>
    </row>
    <row r="8" spans="1:7" ht="25.5" customHeight="1">
      <c r="A8" s="88" t="s">
        <v>170</v>
      </c>
      <c r="B8" s="88" t="s">
        <v>171</v>
      </c>
      <c r="C8" s="88" t="s">
        <v>162</v>
      </c>
      <c r="D8" s="88" t="s">
        <v>163</v>
      </c>
      <c r="E8" s="88">
        <v>8</v>
      </c>
      <c r="F8" s="89">
        <f>ROUND(G8/E8,2)</f>
        <v>62.4</v>
      </c>
      <c r="G8" s="90">
        <f>ROUND(SUM(G9:G11),2)</f>
        <v>499.2</v>
      </c>
    </row>
    <row r="9" spans="1:7" ht="12.75" customHeight="1">
      <c r="A9" s="91" t="s">
        <v>164</v>
      </c>
      <c r="B9" s="91" t="s">
        <v>165</v>
      </c>
      <c r="C9" s="91" t="s">
        <v>166</v>
      </c>
      <c r="D9" s="91" t="s">
        <v>167</v>
      </c>
      <c r="E9" s="91">
        <v>4</v>
      </c>
      <c r="F9" s="91">
        <v>9.58</v>
      </c>
      <c r="G9" s="91">
        <f>E9*F9</f>
        <v>38.32</v>
      </c>
    </row>
    <row r="10" spans="1:7" ht="14.25" customHeight="1">
      <c r="A10" s="92">
        <v>6129</v>
      </c>
      <c r="B10" s="91" t="s">
        <v>168</v>
      </c>
      <c r="C10" s="91" t="s">
        <v>166</v>
      </c>
      <c r="D10" s="91" t="s">
        <v>167</v>
      </c>
      <c r="E10" s="91">
        <v>4</v>
      </c>
      <c r="F10" s="91">
        <v>7.36</v>
      </c>
      <c r="G10" s="91">
        <f>E10*F10</f>
        <v>29.44</v>
      </c>
    </row>
    <row r="11" spans="1:7" ht="12.75" customHeight="1">
      <c r="A11" s="92">
        <v>12318</v>
      </c>
      <c r="B11" s="91" t="s">
        <v>171</v>
      </c>
      <c r="C11" s="91" t="s">
        <v>169</v>
      </c>
      <c r="D11" s="91" t="s">
        <v>163</v>
      </c>
      <c r="E11" s="91">
        <v>8</v>
      </c>
      <c r="F11" s="91">
        <v>53.93</v>
      </c>
      <c r="G11" s="91">
        <f>E11*F11</f>
        <v>431.44</v>
      </c>
    </row>
    <row r="12" spans="1:7" ht="24">
      <c r="A12" s="88" t="s">
        <v>184</v>
      </c>
      <c r="B12" s="88" t="s">
        <v>183</v>
      </c>
      <c r="C12" s="88" t="s">
        <v>162</v>
      </c>
      <c r="D12" s="88" t="s">
        <v>163</v>
      </c>
      <c r="E12" s="88">
        <v>4</v>
      </c>
      <c r="F12" s="89">
        <f>ROUND(G12/E12,2)</f>
        <v>122.56</v>
      </c>
      <c r="G12" s="90">
        <f>ROUND(SUM(G13:G15),2)</f>
        <v>490.24</v>
      </c>
    </row>
    <row r="13" spans="1:7">
      <c r="A13" s="91" t="s">
        <v>164</v>
      </c>
      <c r="B13" s="91" t="s">
        <v>165</v>
      </c>
      <c r="C13" s="91" t="s">
        <v>166</v>
      </c>
      <c r="D13" s="91" t="s">
        <v>167</v>
      </c>
      <c r="E13" s="91">
        <v>4</v>
      </c>
      <c r="F13" s="91">
        <v>9.58</v>
      </c>
      <c r="G13" s="91">
        <f>E13*F13</f>
        <v>38.32</v>
      </c>
    </row>
    <row r="14" spans="1:7">
      <c r="A14" s="92">
        <v>6129</v>
      </c>
      <c r="B14" s="91" t="s">
        <v>168</v>
      </c>
      <c r="C14" s="91" t="s">
        <v>166</v>
      </c>
      <c r="D14" s="91" t="s">
        <v>167</v>
      </c>
      <c r="E14" s="91">
        <v>4</v>
      </c>
      <c r="F14" s="91">
        <v>7.36</v>
      </c>
      <c r="G14" s="91">
        <f>E14*F14</f>
        <v>29.44</v>
      </c>
    </row>
    <row r="15" spans="1:7" ht="24">
      <c r="A15" s="92">
        <v>10510</v>
      </c>
      <c r="B15" s="91" t="s">
        <v>183</v>
      </c>
      <c r="C15" s="91" t="s">
        <v>169</v>
      </c>
      <c r="D15" s="91" t="s">
        <v>163</v>
      </c>
      <c r="E15" s="91">
        <v>4</v>
      </c>
      <c r="F15" s="91">
        <v>105.62</v>
      </c>
      <c r="G15" s="91">
        <f>E15*F15</f>
        <v>422.48</v>
      </c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CRONOGRAMA</vt:lpstr>
      <vt:lpstr>COMPOSIÇÕES</vt:lpstr>
      <vt:lpstr>CRONOGRAMA!Area_de_impressao</vt:lpstr>
      <vt:lpstr>ORÇAMENTO!Area_de_impressao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2013-02-07T15:45:38Z</cp:lastPrinted>
  <dcterms:created xsi:type="dcterms:W3CDTF">2006-09-25T12:47:36Z</dcterms:created>
  <dcterms:modified xsi:type="dcterms:W3CDTF">2015-02-27T11:19:26Z</dcterms:modified>
</cp:coreProperties>
</file>